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48" windowWidth="12120" windowHeight="8580" activeTab="0"/>
  </bookViews>
  <sheets>
    <sheet name="KJ 2002" sheetId="1" r:id="rId1"/>
    <sheet name="Group Points" sheetId="2" r:id="rId2"/>
  </sheets>
  <definedNames>
    <definedName name="A2_Against">'KJ 2002'!$F$7,'KJ 2002'!$F$26,'KJ 2002'!$G$39</definedName>
    <definedName name="A2_Played">'KJ 2002'!$G$7,'KJ 2002'!$G$26,'KJ 2002'!$F$39</definedName>
    <definedName name="Argentina_Against">'KJ 2002'!$G$13,'KJ 2002'!$G$29,'KJ 2002'!$F$44</definedName>
    <definedName name="Argentina_Played">'KJ 2002'!$F$13,'KJ 2002'!$F$29,'KJ 2002'!$G$44</definedName>
    <definedName name="Belgium_Against">'KJ 2002'!$F$19,'KJ 2002'!$F$37,'KJ 2002'!$G$51</definedName>
    <definedName name="Belgium_Played">'KJ 2002'!$G$19,'KJ 2002'!$G$37,'KJ 2002'!$F$51</definedName>
    <definedName name="Brazil_Against">'KJ 2002'!$G$16,'KJ 2002'!$G$32,'KJ 2002'!$F$48</definedName>
    <definedName name="Brazil_Played">'KJ 2002'!$F$16,'KJ 2002'!$F$32,'KJ 2002'!$G$48</definedName>
    <definedName name="Cameroon_Against">'KJ 2002'!$F$8,'KJ 2002'!$G$25,'KJ 2002'!$G$42</definedName>
    <definedName name="Cameroon_Played">'KJ 2002'!$G$8,'KJ 2002'!$F$25,'KJ 2002'!$F$42</definedName>
    <definedName name="China_Against">'KJ 2002'!$G$18,'KJ 2002'!$F$32,'KJ 2002'!$F$47</definedName>
    <definedName name="China_Played">'KJ 2002'!$F$18,'KJ 2002'!$G$32,'KJ 2002'!$G$47</definedName>
    <definedName name="Costa_Rica_Against">'KJ 2002'!$F$18,'KJ 2002'!$G$34,'KJ 2002'!$G$48</definedName>
    <definedName name="Costa_Rica_Played">'KJ 2002'!$G$18,'KJ 2002'!$F$34,'KJ 2002'!$F$48</definedName>
    <definedName name="Croatia_Against">'KJ 2002'!$G$15,'KJ 2002'!$F$31,'KJ 2002'!$F$49</definedName>
    <definedName name="Croatia_Played">'KJ 2002'!$F$15,'KJ 2002'!$G$31,'KJ 2002'!$G$49</definedName>
    <definedName name="Denmark_Against">'KJ 2002'!$F$9,'KJ 2002'!$G$26,'KJ 2002'!$G$40</definedName>
    <definedName name="Denmark_Played">'KJ 2002'!$G$9,'KJ 2002'!$F$26,'KJ 2002'!$F$40</definedName>
    <definedName name="Drawpoints">'Group Points'!$B$5</definedName>
    <definedName name="Ecuador_Against">'KJ 2002'!$F$17,'KJ 2002'!$F$33,'KJ 2002'!$G$49</definedName>
    <definedName name="Ecuador_Played">'KJ 2002'!$G$17,'KJ 2002'!$G$33,'KJ 2002'!$F$49</definedName>
    <definedName name="England_Against">'KJ 2002'!$G$11,'KJ 2002'!$F$29,'KJ 2002'!$F$43</definedName>
    <definedName name="England_Played">'KJ 2002'!$F$11,'KJ 2002'!$G$29,'KJ 2002'!$G$43</definedName>
    <definedName name="France_Against">'KJ 2002'!$G$7,'KJ 2002'!$G$24,'KJ 2002'!$F$40</definedName>
    <definedName name="France_Played">'KJ 2002'!$F$7,'KJ 2002'!$F$24,'KJ 2002'!$G$40</definedName>
    <definedName name="France_Results">'KJ 2002'!$K$7,'KJ 2002'!$K$24,'KJ 2002'!$K$40</definedName>
    <definedName name="Germany_Against">'KJ 2002'!$G$10,'KJ 2002'!$G$23,'KJ 2002'!$F$42</definedName>
    <definedName name="Germany_Played">'KJ 2002'!$F$10,'KJ 2002'!$F$23,'KJ 2002'!$G$42</definedName>
    <definedName name="Groupstage_Losers">'KJ 2002'!$L$7:$L$54</definedName>
    <definedName name="Groupstage_Winners">'KJ 2002'!$K$7:$K$54</definedName>
    <definedName name="Ireland_Against">'KJ 2002'!$G$8,'KJ 2002'!$F$23,'KJ 2002'!$F$41</definedName>
    <definedName name="Ireland_Played">'KJ 2002'!$F$8,'KJ 2002'!$G$23,'KJ 2002'!$G$41</definedName>
    <definedName name="Italy_Against">'KJ 2002'!$G$17,'KJ 2002'!$G$31,'KJ 2002'!$F$50</definedName>
    <definedName name="Italy_Played">'KJ 2002'!$F$17,'KJ 2002'!$F$31,'KJ 2002'!$G$50</definedName>
    <definedName name="Japan_Against">'KJ 2002'!$G$19,'KJ 2002'!$G$35,'KJ 2002'!$F$52</definedName>
    <definedName name="Japan_Played">'KJ 2002'!$F$19,'KJ 2002'!$F$35,'KJ 2002'!$G$52</definedName>
    <definedName name="Mexico_Against">'KJ 2002'!$F$15,'KJ 2002'!$G$33,'KJ 2002'!$G$50</definedName>
    <definedName name="Mexico_Played">'KJ 2002'!$G$15,'KJ 2002'!$F$33,'KJ 2002'!$F$50</definedName>
    <definedName name="Nigeria_Against">'KJ 2002'!$F$13,'KJ 2002'!$F$27,'KJ 2002'!$G$43</definedName>
    <definedName name="Nigeria_Played">'KJ 2002'!$G$13,'KJ 2002'!$G$27,'KJ 2002'!$F$43</definedName>
    <definedName name="Paraguay_Against">'KJ 2002'!$G$12,'KJ 2002'!$F$28,'KJ 2002'!$F$45</definedName>
    <definedName name="Paraguay_Played">'KJ 2002'!$F$12,'KJ 2002'!$G$28,'KJ 2002'!$G$45</definedName>
    <definedName name="Poland_Against">'KJ 2002'!$F$20,'KJ 2002'!$F$38,'KJ 2002'!$G$53</definedName>
    <definedName name="Poland_Played">'KJ 2002'!$G$20,'KJ 2002'!$G$38,'KJ 2002'!$F$53</definedName>
    <definedName name="Portugal_Against">'KJ 2002'!$F$22,'KJ 2002'!$G$38,'KJ 2002'!$G$54</definedName>
    <definedName name="Portugal_Played">'KJ 2002'!$G$22,'KJ 2002'!$F$38,'KJ 2002'!$F$54</definedName>
    <definedName name="_xlnm.Print_Area" localSheetId="0">'KJ 2002'!$B$1:$BV$91</definedName>
    <definedName name="Russia_Against">'KJ 2002'!$G$21,'KJ 2002'!$F$35,'KJ 2002'!$F$51</definedName>
    <definedName name="Russia_Played">'KJ 2002'!$F$21,'KJ 2002'!$G$35,'KJ 2002'!$G$51</definedName>
    <definedName name="Saudi_Arabia_Against">'KJ 2002'!$F$10,'KJ 2002'!$F$25,'KJ 2002'!$G$41</definedName>
    <definedName name="Saudi_Arabia_Played">'KJ 2002'!$G$10,'KJ 2002'!$G$25,'KJ 2002'!$F$41</definedName>
    <definedName name="Senegal_Against">'KJ 2002'!$F$7,'KJ 2002'!$F$26,'KJ 2002'!$G$39</definedName>
    <definedName name="Senegal_Played">'KJ 2002'!$G$7,'KJ 2002'!$G$26,'KJ 2002'!$F$39</definedName>
    <definedName name="Slovenia_Against">'KJ 2002'!$F$14,'KJ 2002'!$F$30,'KJ 2002'!$G$45</definedName>
    <definedName name="Slovenia_Played">'KJ 2002'!$G$14,'KJ 2002'!$G$30,'KJ 2002'!$F$45</definedName>
    <definedName name="South_Africa_Against">'KJ 2002'!$F$12,'KJ 2002'!$G$30,'KJ 2002'!$G$46</definedName>
    <definedName name="South_Africa_Played">'KJ 2002'!$G$12,'KJ 2002'!$F$30,'KJ 2002'!$F$46</definedName>
    <definedName name="South_Korea_Against">'KJ 2002'!$G$20,'KJ 2002'!$G$36,'KJ 2002'!$F$54</definedName>
    <definedName name="South_Korea_Played">'KJ 2002'!$F$20,'KJ 2002'!$F$36,'KJ 2002'!$G$54</definedName>
    <definedName name="Spain_Against">'KJ 2002'!$G$14,'KJ 2002'!$G$28,'KJ 2002'!$F$46</definedName>
    <definedName name="Spain_Played">'KJ 2002'!$F$14,'KJ 2002'!$F$28,'KJ 2002'!$G$46</definedName>
    <definedName name="Sweden_Against">'KJ 2002'!$F$11,'KJ 2002'!$G$27,'KJ 2002'!$G$44</definedName>
    <definedName name="Sweden_Played">'KJ 2002'!$G$11,'KJ 2002'!$F$27,'KJ 2002'!$F$44</definedName>
    <definedName name="Tunisia_Against">'KJ 2002'!$F$21,'KJ 2002'!$G$37,'KJ 2002'!$G$52</definedName>
    <definedName name="Tunisia_Played">'KJ 2002'!$G$21,'KJ 2002'!$F$37,'KJ 2002'!$F$52</definedName>
    <definedName name="Turkey_Against">'KJ 2002'!$F$16,'KJ 2002'!$F$34,'KJ 2002'!$G$47</definedName>
    <definedName name="Turkey_Played">'KJ 2002'!$G$16,'KJ 2002'!$G$34,'KJ 2002'!$F$47</definedName>
    <definedName name="Uruguay_Against">'KJ 2002'!$G$9,'KJ 2002'!$F$24,'KJ 2002'!$F$39</definedName>
    <definedName name="Uruguay_Played">'KJ 2002'!$F$9,'KJ 2002'!$G$24,'KJ 2002'!$G$39</definedName>
    <definedName name="USA_Against">'KJ 2002'!$G$22,'KJ 2002'!$F$36,'KJ 2002'!$F$53</definedName>
    <definedName name="USA_Played">'KJ 2002'!$F$22,'KJ 2002'!$G$36,'KJ 2002'!$G$53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<sst xmlns="http://schemas.openxmlformats.org/spreadsheetml/2006/main" count="502" uniqueCount="105">
  <si>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</si>
  <si>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</si>
  <si>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</si>
  <si>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</si>
  <si>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</si>
  <si>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</si>
  <si>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</si>
  <si>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</si>
  <si>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</si>
  <si>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</si>
  <si>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</si>
  <si>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</si>
  <si>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Group Stage</t>
  </si>
  <si>
    <t>Group A</t>
  </si>
  <si>
    <t>Date</t>
  </si>
  <si>
    <t>Time</t>
  </si>
  <si>
    <t>Venue</t>
  </si>
  <si>
    <t>Gp</t>
  </si>
  <si>
    <t>P</t>
  </si>
  <si>
    <t>W</t>
  </si>
  <si>
    <t>L</t>
  </si>
  <si>
    <t>D</t>
  </si>
  <si>
    <t>F</t>
  </si>
  <si>
    <t>A</t>
  </si>
  <si>
    <t>GD</t>
  </si>
  <si>
    <t>Pts</t>
  </si>
  <si>
    <t>B</t>
  </si>
  <si>
    <t>Played</t>
  </si>
  <si>
    <t>Points</t>
  </si>
  <si>
    <t>Team</t>
  </si>
  <si>
    <t>France</t>
  </si>
  <si>
    <t>Group B</t>
  </si>
  <si>
    <t>C</t>
  </si>
  <si>
    <t>Group C</t>
  </si>
  <si>
    <t>Group D</t>
  </si>
  <si>
    <t>Quarter-Finals</t>
  </si>
  <si>
    <t>Semi-Finals</t>
  </si>
  <si>
    <t>Final</t>
  </si>
  <si>
    <t>Winner:</t>
  </si>
  <si>
    <t>Groupstage</t>
  </si>
  <si>
    <t>Points for a win</t>
  </si>
  <si>
    <t>Points for a draw</t>
  </si>
  <si>
    <t>Korea / Japan 2002 Electronic Wallchart</t>
  </si>
  <si>
    <t>Seoul</t>
  </si>
  <si>
    <t>Niigata</t>
  </si>
  <si>
    <t>Ulsan</t>
  </si>
  <si>
    <t>E</t>
  </si>
  <si>
    <t>Sapporo</t>
  </si>
  <si>
    <t>Saitama</t>
  </si>
  <si>
    <t>Pusan</t>
  </si>
  <si>
    <t>Ibaraki</t>
  </si>
  <si>
    <t>Gwangju</t>
  </si>
  <si>
    <t>South Korea</t>
  </si>
  <si>
    <t>G</t>
  </si>
  <si>
    <t>H</t>
  </si>
  <si>
    <t>Japan</t>
  </si>
  <si>
    <t>Kobe</t>
  </si>
  <si>
    <t>Suwon</t>
  </si>
  <si>
    <t>Daegu</t>
  </si>
  <si>
    <t>Jeonju</t>
  </si>
  <si>
    <t>Seogwipo</t>
  </si>
  <si>
    <t>Incheon</t>
  </si>
  <si>
    <t>Miyagi</t>
  </si>
  <si>
    <t>Yokohama</t>
  </si>
  <si>
    <t>Oita</t>
  </si>
  <si>
    <t>Shizuoka</t>
  </si>
  <si>
    <t>Osaka</t>
  </si>
  <si>
    <t>Daejeon</t>
  </si>
  <si>
    <t>Second Round</t>
  </si>
  <si>
    <t>Deajeon</t>
  </si>
  <si>
    <t>Group E</t>
  </si>
  <si>
    <t>Group F</t>
  </si>
  <si>
    <t>Group G</t>
  </si>
  <si>
    <t>Group H</t>
  </si>
  <si>
    <t>Senegal</t>
  </si>
  <si>
    <t>Uruguay</t>
  </si>
  <si>
    <t>Denmark</t>
  </si>
  <si>
    <t>Spain</t>
  </si>
  <si>
    <t>Slovenia</t>
  </si>
  <si>
    <t>Paraguay</t>
  </si>
  <si>
    <t>South Africa</t>
  </si>
  <si>
    <t>Brazil</t>
  </si>
  <si>
    <t>Turkey</t>
  </si>
  <si>
    <t>China</t>
  </si>
  <si>
    <t>Costa Rica</t>
  </si>
  <si>
    <t>Poland</t>
  </si>
  <si>
    <t>USA</t>
  </si>
  <si>
    <t>Portugal</t>
  </si>
  <si>
    <t>Germany</t>
  </si>
  <si>
    <t>Saudi Arabia</t>
  </si>
  <si>
    <t>Ireland</t>
  </si>
  <si>
    <t>Cameroon</t>
  </si>
  <si>
    <t>Argentina</t>
  </si>
  <si>
    <t>Nigeria</t>
  </si>
  <si>
    <t>England</t>
  </si>
  <si>
    <t>Sweden</t>
  </si>
  <si>
    <t>Italy</t>
  </si>
  <si>
    <t>Ecuador</t>
  </si>
  <si>
    <t>Croatia</t>
  </si>
  <si>
    <t>Mexico</t>
  </si>
  <si>
    <t>Belgium</t>
  </si>
  <si>
    <t>Russia</t>
  </si>
  <si>
    <t>Tunisia</t>
  </si>
  <si>
    <t>GMT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</si>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</sst>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17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83</xdr:row>
      <xdr:rowOff>104775</xdr:rowOff>
    </xdr:from>
    <xdr:to>
      <xdr:col>21</xdr:col>
      <xdr:colOff>114300</xdr:colOff>
      <xdr:row>87</xdr:row>
      <xdr:rowOff>28575</xdr:rowOff>
    </xdr:to>
    <xdr:pic>
      <xdr:nvPicPr>
        <xdr:cNvPr id="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46970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2</xdr:col>
      <xdr:colOff>219075</xdr:colOff>
      <xdr:row>3</xdr:row>
      <xdr:rowOff>0</xdr:rowOff>
    </xdr:to>
    <xdr:pic>
      <xdr:nvPicPr>
        <xdr:cNvPr id="2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171450</xdr:colOff>
      <xdr:row>0</xdr:row>
      <xdr:rowOff>133350</xdr:rowOff>
    </xdr:from>
    <xdr:to>
      <xdr:col>73</xdr:col>
      <xdr:colOff>466725</xdr:colOff>
      <xdr:row>1</xdr:row>
      <xdr:rowOff>9525</xdr:rowOff>
    </xdr:to>
    <xdr:pic>
      <xdr:nvPicPr>
        <xdr:cNvPr id="3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1333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0</xdr:row>
      <xdr:rowOff>123825</xdr:rowOff>
    </xdr:from>
    <xdr:to>
      <xdr:col>21</xdr:col>
      <xdr:colOff>38100</xdr:colOff>
      <xdr:row>0</xdr:row>
      <xdr:rowOff>695325</xdr:rowOff>
    </xdr:to>
    <xdr:pic>
      <xdr:nvPicPr>
        <xdr:cNvPr id="4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86475" y="12382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504825</xdr:colOff>
      <xdr:row>68</xdr:row>
      <xdr:rowOff>104775</xdr:rowOff>
    </xdr:from>
    <xdr:to>
      <xdr:col>21</xdr:col>
      <xdr:colOff>0</xdr:colOff>
      <xdr:row>81</xdr:row>
      <xdr:rowOff>9525</xdr:rowOff>
    </xdr:to>
    <xdr:pic>
      <xdr:nvPicPr>
        <xdr:cNvPr id="5" name="Picture 8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12087225"/>
          <a:ext cx="16097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91"/>
  <sheetViews>
    <sheetView showGridLines="0" showRowColHeaders="0" tabSelected="1" showOutlineSymbols="0" zoomScale="90" zoomScaleNormal="90" workbookViewId="0" topLeftCell="B1">
      <selection activeCell="D91" sqref="D91"/>
    </sheetView>
  </sheetViews>
  <sheetFormatPr defaultColWidth="9.140625" defaultRowHeight="12.75"/>
  <cols>
    <col min="1" max="1" width="0" style="1" hidden="1" customWidth="1"/>
    <col min="2" max="3" width="9.140625" style="1" customWidth="1"/>
    <col min="4" max="4" width="10.28125" style="1" customWidth="1"/>
    <col min="5" max="5" width="15.57421875" style="23" customWidth="1"/>
    <col min="6" max="6" width="3.00390625" style="23" customWidth="1"/>
    <col min="7" max="7" width="3.00390625" style="1" customWidth="1"/>
    <col min="8" max="8" width="15.57421875" style="23" customWidth="1"/>
    <col min="9" max="9" width="10.57421875" style="1" customWidth="1"/>
    <col min="10" max="10" width="4.28125" style="1" customWidth="1"/>
    <col min="11" max="11" width="10.8515625" style="1" hidden="1" customWidth="1"/>
    <col min="12" max="12" width="9.140625" style="1" hidden="1" customWidth="1"/>
    <col min="13" max="13" width="6.28125" style="1" customWidth="1"/>
    <col min="14" max="14" width="14.00390625" style="1" customWidth="1"/>
    <col min="15" max="15" width="2.28125" style="1" customWidth="1"/>
    <col min="16" max="16" width="2.8515625" style="1" customWidth="1"/>
    <col min="17" max="17" width="2.00390625" style="1" customWidth="1"/>
    <col min="18" max="20" width="2.28125" style="1" customWidth="1"/>
    <col min="21" max="21" width="3.7109375" style="1" customWidth="1"/>
    <col min="22" max="22" width="3.8515625" style="1" customWidth="1"/>
    <col min="23" max="23" width="6.28125" style="1" customWidth="1"/>
    <col min="24" max="25" width="9.140625" style="1" hidden="1" customWidth="1"/>
    <col min="26" max="26" width="2.8515625" style="1" hidden="1" customWidth="1"/>
    <col min="27" max="27" width="2.00390625" style="1" hidden="1" customWidth="1"/>
    <col min="28" max="28" width="2.28125" style="1" hidden="1" customWidth="1"/>
    <col min="29" max="29" width="2.140625" style="1" hidden="1" customWidth="1"/>
    <col min="30" max="30" width="2.28125" style="1" hidden="1" customWidth="1"/>
    <col min="31" max="31" width="3.7109375" style="1" hidden="1" customWidth="1"/>
    <col min="32" max="32" width="6.28125" style="1" hidden="1" customWidth="1"/>
    <col min="33" max="73" width="9.140625" style="1" hidden="1" customWidth="1"/>
    <col min="74" max="16384" width="9.140625" style="1" customWidth="1"/>
  </cols>
  <sheetData>
    <row r="1" spans="6:13" ht="54.75" customHeight="1">
      <c r="F1" s="33" t="s">
        <v>42</v>
      </c>
      <c r="G1" s="33"/>
      <c r="H1" s="33"/>
      <c r="I1" s="33"/>
      <c r="J1" s="33"/>
      <c r="K1" s="33"/>
      <c r="L1" s="33"/>
      <c r="M1" s="33"/>
    </row>
    <row r="2" ht="12.75"/>
    <row r="3" spans="11:58" ht="11.25" customHeight="1">
      <c r="K3" s="1" t="s">
        <v>0</v>
      </c>
      <c r="L3" s="1" t="s">
        <v>1</v>
      </c>
      <c r="X3" s="1" t="s">
        <v>2</v>
      </c>
      <c r="AG3" s="1" t="s">
        <v>3</v>
      </c>
      <c r="AI3" s="1" t="s">
        <v>4</v>
      </c>
      <c r="AK3" s="1" t="s">
        <v>5</v>
      </c>
      <c r="AN3" s="1" t="s">
        <v>6</v>
      </c>
      <c r="AQ3" s="1" t="s">
        <v>7</v>
      </c>
      <c r="AT3" s="1" t="s">
        <v>8</v>
      </c>
      <c r="AX3" s="1" t="s">
        <v>9</v>
      </c>
      <c r="BB3" s="1" t="s">
        <v>10</v>
      </c>
      <c r="BF3" s="1" t="s">
        <v>11</v>
      </c>
    </row>
    <row r="4" spans="2:22" ht="15">
      <c r="B4" s="30" t="s">
        <v>12</v>
      </c>
      <c r="C4" s="31"/>
      <c r="D4" s="31"/>
      <c r="E4" s="31"/>
      <c r="F4" s="31"/>
      <c r="G4" s="31"/>
      <c r="H4" s="31"/>
      <c r="I4" s="31"/>
      <c r="J4" s="32"/>
      <c r="N4" s="2" t="s">
        <v>13</v>
      </c>
      <c r="O4" s="3"/>
      <c r="P4" s="3"/>
      <c r="Q4" s="3"/>
      <c r="R4" s="3"/>
      <c r="S4" s="3"/>
      <c r="T4" s="3"/>
      <c r="U4" s="3"/>
      <c r="V4" s="4"/>
    </row>
    <row r="5" spans="2:22" ht="15.75">
      <c r="B5" s="34" t="s">
        <v>14</v>
      </c>
      <c r="C5" s="35" t="s">
        <v>15</v>
      </c>
      <c r="D5" s="35" t="s">
        <v>103</v>
      </c>
      <c r="E5" s="36"/>
      <c r="F5" s="36"/>
      <c r="G5" s="36"/>
      <c r="H5" s="36"/>
      <c r="I5" s="36" t="s">
        <v>16</v>
      </c>
      <c r="J5" s="37" t="s">
        <v>17</v>
      </c>
      <c r="N5" s="7"/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8" t="s">
        <v>23</v>
      </c>
      <c r="U5" s="8" t="s">
        <v>24</v>
      </c>
      <c r="V5" s="9" t="s">
        <v>25</v>
      </c>
    </row>
    <row r="6" spans="2:24" ht="12.75" thickBot="1">
      <c r="B6" s="5"/>
      <c r="C6" s="5"/>
      <c r="D6" s="5"/>
      <c r="E6" s="6"/>
      <c r="F6" s="6"/>
      <c r="G6" s="6"/>
      <c r="H6" s="6"/>
      <c r="I6" s="6"/>
      <c r="J6" s="6"/>
      <c r="N6" s="17" t="str">
        <f>BM8</f>
        <v>France</v>
      </c>
      <c r="O6" s="18">
        <f aca="true" t="shared" si="0" ref="O6:V9">BN8</f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 t="shared" si="0"/>
        <v>0</v>
      </c>
      <c r="V6" s="19">
        <f t="shared" si="0"/>
        <v>0</v>
      </c>
      <c r="X6" s="1" t="s">
        <v>13</v>
      </c>
    </row>
    <row r="7" spans="2:73" ht="12.75" thickBot="1">
      <c r="B7" s="10">
        <v>47969</v>
      </c>
      <c r="C7" s="11">
        <v>0.8541666666666666</v>
      </c>
      <c r="D7" s="11">
        <f>C7-$A$8</f>
        <v>0.5208333333333333</v>
      </c>
      <c r="E7" s="28" t="s">
        <v>30</v>
      </c>
      <c r="F7" s="13"/>
      <c r="G7" s="14"/>
      <c r="H7" s="12" t="s">
        <v>74</v>
      </c>
      <c r="I7" s="15" t="s">
        <v>43</v>
      </c>
      <c r="J7" s="16" t="s">
        <v>23</v>
      </c>
      <c r="K7" s="1">
        <f aca="true" t="shared" si="1" ref="K7:K30">IF(F7&lt;&gt;"",IF(F7&gt;G7,E7,IF(G7&gt;F7,H7,"Draw")),"")</f>
      </c>
      <c r="L7" s="1">
        <f aca="true" t="shared" si="2" ref="L7:L30">IF(F7&lt;&gt;"",IF(F7&lt;G7,E7,IF(G7&lt;F7,H7,"Draw")),"")</f>
      </c>
      <c r="N7" s="17" t="str">
        <f>BM9</f>
        <v>Senegal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8">
        <f t="shared" si="0"/>
        <v>0</v>
      </c>
      <c r="V7" s="19">
        <f t="shared" si="0"/>
        <v>0</v>
      </c>
      <c r="Y7" s="1" t="s">
        <v>27</v>
      </c>
      <c r="Z7" s="1" t="s">
        <v>19</v>
      </c>
      <c r="AA7" s="1" t="s">
        <v>20</v>
      </c>
      <c r="AB7" s="1" t="s">
        <v>21</v>
      </c>
      <c r="AC7" s="1" t="s">
        <v>22</v>
      </c>
      <c r="AD7" s="1" t="s">
        <v>23</v>
      </c>
      <c r="AE7" s="1" t="s">
        <v>24</v>
      </c>
      <c r="AF7" s="1" t="s">
        <v>28</v>
      </c>
      <c r="AG7" s="1" t="s">
        <v>29</v>
      </c>
      <c r="AH7" s="26" t="s">
        <v>28</v>
      </c>
      <c r="AI7" s="1" t="s">
        <v>29</v>
      </c>
      <c r="AJ7" s="26" t="s">
        <v>28</v>
      </c>
      <c r="AK7" s="1" t="s">
        <v>29</v>
      </c>
      <c r="AL7" s="26" t="s">
        <v>28</v>
      </c>
      <c r="AM7" s="26" t="s">
        <v>24</v>
      </c>
      <c r="AN7" s="1" t="s">
        <v>29</v>
      </c>
      <c r="AO7" s="1" t="s">
        <v>28</v>
      </c>
      <c r="AP7" s="26" t="s">
        <v>24</v>
      </c>
      <c r="AQ7" s="1" t="s">
        <v>29</v>
      </c>
      <c r="AR7" s="1" t="s">
        <v>28</v>
      </c>
      <c r="AS7" s="26" t="s">
        <v>24</v>
      </c>
      <c r="AT7" s="1" t="s">
        <v>29</v>
      </c>
      <c r="AU7" s="1" t="s">
        <v>28</v>
      </c>
      <c r="AV7" s="26" t="s">
        <v>24</v>
      </c>
      <c r="AW7" s="26" t="s">
        <v>22</v>
      </c>
      <c r="AX7" s="1" t="s">
        <v>29</v>
      </c>
      <c r="AY7" s="1" t="s">
        <v>28</v>
      </c>
      <c r="AZ7" s="26" t="s">
        <v>24</v>
      </c>
      <c r="BA7" s="26" t="s">
        <v>22</v>
      </c>
      <c r="BB7" s="1" t="s">
        <v>29</v>
      </c>
      <c r="BC7" s="1" t="s">
        <v>28</v>
      </c>
      <c r="BD7" s="26" t="s">
        <v>24</v>
      </c>
      <c r="BE7" s="26" t="s">
        <v>22</v>
      </c>
      <c r="BF7" s="1" t="s">
        <v>29</v>
      </c>
      <c r="BG7" s="26" t="s">
        <v>28</v>
      </c>
      <c r="BH7" s="26" t="s">
        <v>24</v>
      </c>
      <c r="BI7" s="26" t="s">
        <v>22</v>
      </c>
      <c r="BN7" s="26" t="s">
        <v>18</v>
      </c>
      <c r="BO7" s="26" t="s">
        <v>19</v>
      </c>
      <c r="BP7" s="26" t="s">
        <v>20</v>
      </c>
      <c r="BQ7" s="26" t="s">
        <v>21</v>
      </c>
      <c r="BR7" s="26" t="s">
        <v>22</v>
      </c>
      <c r="BS7" s="26" t="s">
        <v>23</v>
      </c>
      <c r="BT7" s="26" t="s">
        <v>24</v>
      </c>
      <c r="BU7" s="26" t="s">
        <v>28</v>
      </c>
    </row>
    <row r="8" spans="1:73" ht="12.75" thickBot="1">
      <c r="A8" s="25">
        <v>0.3333333333333333</v>
      </c>
      <c r="B8" s="10">
        <v>37043</v>
      </c>
      <c r="C8" s="11">
        <v>0.6458333333333334</v>
      </c>
      <c r="D8" s="11">
        <f aca="true" t="shared" si="3" ref="D8:D54">C8-$A$8</f>
        <v>0.31250000000000006</v>
      </c>
      <c r="E8" s="28" t="s">
        <v>90</v>
      </c>
      <c r="F8" s="13" t="s">
        <v>104</v>
      </c>
      <c r="G8" s="14" t="s">
        <v>104</v>
      </c>
      <c r="H8" s="12" t="s">
        <v>91</v>
      </c>
      <c r="I8" s="15" t="s">
        <v>44</v>
      </c>
      <c r="J8" s="16" t="s">
        <v>46</v>
      </c>
      <c r="K8" s="1" t="str">
        <f t="shared" si="1"/>
        <v>Draw</v>
      </c>
      <c r="L8" s="1" t="str">
        <f t="shared" si="2"/>
        <v>Draw</v>
      </c>
      <c r="N8" s="17" t="str">
        <f>BM10</f>
        <v>Uruguay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9">
        <f t="shared" si="0"/>
        <v>0</v>
      </c>
      <c r="X8" s="1" t="s">
        <v>30</v>
      </c>
      <c r="Y8" s="1">
        <f>COUNT(France_Played)</f>
        <v>0</v>
      </c>
      <c r="Z8" s="1">
        <f>COUNTIF(Groupstage_Winners,"France")</f>
        <v>0</v>
      </c>
      <c r="AA8" s="1">
        <f>COUNTIF(Groupstage_Losers,"France")</f>
        <v>0</v>
      </c>
      <c r="AB8" s="1">
        <f>Y8-(Z8+AA8)</f>
        <v>0</v>
      </c>
      <c r="AC8" s="1">
        <f>SUM(France_Played)</f>
        <v>0</v>
      </c>
      <c r="AD8" s="1">
        <f>SUM(France_Against)</f>
        <v>0</v>
      </c>
      <c r="AE8" s="1">
        <f>AC8-AD8</f>
        <v>0</v>
      </c>
      <c r="AF8" s="1">
        <f>Z8*Winpoints+AB8*Drawpoints</f>
        <v>0</v>
      </c>
      <c r="AG8" s="1" t="str">
        <f>IF($AF8&gt;=$AF9,$X8,$X9)</f>
        <v>France</v>
      </c>
      <c r="AH8" s="1">
        <f>VLOOKUP($AG8,$X8:$AF11,9,FALSE)</f>
        <v>0</v>
      </c>
      <c r="AI8" s="1" t="str">
        <f>IF($AH8&gt;=$AH10,$AG8,$AG10)</f>
        <v>France</v>
      </c>
      <c r="AJ8" s="1">
        <f>VLOOKUP($AI8,$X8:$AF11,9,FALSE)</f>
        <v>0</v>
      </c>
      <c r="AK8" s="1" t="str">
        <f>IF($AJ8&gt;=$AJ11,$AI8,$AI11)</f>
        <v>France</v>
      </c>
      <c r="AL8" s="1">
        <f>VLOOKUP($AK8,$X8:$AF11,9,FALSE)</f>
        <v>0</v>
      </c>
      <c r="AM8" s="1">
        <f>VLOOKUP($AK8,$X8:$AF11,8,FALSE)</f>
        <v>0</v>
      </c>
      <c r="AN8" s="1" t="str">
        <f>IF(AND($AL8=$AL9,$AM9&gt;$AM8),$AK9,$AK8)</f>
        <v>France</v>
      </c>
      <c r="AO8" s="1">
        <f>VLOOKUP($AN8,$X8:$AF11,9,FALSE)</f>
        <v>0</v>
      </c>
      <c r="AP8" s="1">
        <f>VLOOKUP($AN8,$X8:$AF11,8,FALSE)</f>
        <v>0</v>
      </c>
      <c r="AQ8" s="1" t="str">
        <f>IF(AND($AO8=$AO10,$AP10&gt;$AP8),$AN10,$AN8)</f>
        <v>France</v>
      </c>
      <c r="AR8" s="1">
        <f>VLOOKUP($AQ8,$X8:$AF11,9,FALSE)</f>
        <v>0</v>
      </c>
      <c r="AS8" s="1">
        <f>VLOOKUP($AQ8,$X8:$AF11,8,FALSE)</f>
        <v>0</v>
      </c>
      <c r="AT8" s="1" t="str">
        <f>IF(AND($AR8=$AR11,$AS11&gt;$AS8),$AQ11,$AQ8)</f>
        <v>France</v>
      </c>
      <c r="AU8" s="1">
        <f>VLOOKUP($AT8,$X8:$AF11,9,FALSE)</f>
        <v>0</v>
      </c>
      <c r="AV8" s="1">
        <f>VLOOKUP($AT8,$X8:$AF11,8,FALSE)</f>
        <v>0</v>
      </c>
      <c r="AW8" s="1">
        <f>VLOOKUP($AT8,$X8:$AF11,6,FALSE)</f>
        <v>0</v>
      </c>
      <c r="AX8" s="1" t="str">
        <f>IF(AND($AU8=$AU9,$AV8=$AV9,$AW9&gt;$AW8),$AT9,$AT8)</f>
        <v>France</v>
      </c>
      <c r="AY8" s="1">
        <f>VLOOKUP($AX8,$X8:$AF11,9,FALSE)</f>
        <v>0</v>
      </c>
      <c r="AZ8" s="1">
        <f>VLOOKUP($AX8,$X8:$AF11,8,FALSE)</f>
        <v>0</v>
      </c>
      <c r="BA8" s="1">
        <f>VLOOKUP($AX8,$X8:$AF11,6,FALSE)</f>
        <v>0</v>
      </c>
      <c r="BB8" s="1" t="str">
        <f>IF(AND($AY8=$AY10,$AZ8=$AZ10,$BA10&gt;$BA8),$AX10,$AX8)</f>
        <v>France</v>
      </c>
      <c r="BC8" s="1">
        <f>VLOOKUP($BB8,$X8:$AF11,9,FALSE)</f>
        <v>0</v>
      </c>
      <c r="BD8" s="1">
        <f>VLOOKUP($BB8,$X8:$AF11,8,FALSE)</f>
        <v>0</v>
      </c>
      <c r="BE8" s="1">
        <f>VLOOKUP($BB8,$X8:$AF11,6,FALSE)</f>
        <v>0</v>
      </c>
      <c r="BF8" s="1" t="str">
        <f>IF(AND($BC8=$BC11,$BD8=$BD11,$BE11&gt;$BE8),$BB11,$BB8)</f>
        <v>France</v>
      </c>
      <c r="BG8" s="1">
        <f>VLOOKUP($BF8,$X8:$AF11,9,FALSE)</f>
        <v>0</v>
      </c>
      <c r="BH8" s="1">
        <f>VLOOKUP($BF8,$X8:$AF11,8,FALSE)</f>
        <v>0</v>
      </c>
      <c r="BI8" s="1">
        <f>VLOOKUP($BF8,$X8:$AF11,6,FALSE)</f>
        <v>0</v>
      </c>
      <c r="BM8" s="1" t="str">
        <f>BF8</f>
        <v>France</v>
      </c>
      <c r="BN8" s="1">
        <f>VLOOKUP($BM8,$X8:$AF11,2,FALSE)</f>
        <v>0</v>
      </c>
      <c r="BO8" s="1">
        <f>VLOOKUP($BM8,$X8:$AF11,3,FALSE)</f>
        <v>0</v>
      </c>
      <c r="BP8" s="1">
        <f>VLOOKUP($BM8,$X8:$AF11,4,FALSE)</f>
        <v>0</v>
      </c>
      <c r="BQ8" s="1">
        <f>VLOOKUP($BM8,$X8:$AF11,5,FALSE)</f>
        <v>0</v>
      </c>
      <c r="BR8" s="1">
        <f>VLOOKUP($BM8,$X8:$AF11,6,FALSE)</f>
        <v>0</v>
      </c>
      <c r="BS8" s="1">
        <f>VLOOKUP($BM8,$X8:$AF11,7,FALSE)</f>
        <v>0</v>
      </c>
      <c r="BT8" s="1">
        <f>VLOOKUP($BM8,$X8:$AF11,8,FALSE)</f>
        <v>0</v>
      </c>
      <c r="BU8" s="1">
        <f>VLOOKUP($BM8,$X8:$AF11,9,FALSE)</f>
        <v>0</v>
      </c>
    </row>
    <row r="9" spans="2:73" ht="12.75" thickBot="1">
      <c r="B9" s="10">
        <v>37043</v>
      </c>
      <c r="C9" s="11">
        <v>0.75</v>
      </c>
      <c r="D9" s="11">
        <f t="shared" si="3"/>
        <v>0.4166666666666667</v>
      </c>
      <c r="E9" s="28" t="s">
        <v>75</v>
      </c>
      <c r="F9" s="13"/>
      <c r="G9" s="14"/>
      <c r="H9" s="12" t="s">
        <v>76</v>
      </c>
      <c r="I9" s="15" t="s">
        <v>45</v>
      </c>
      <c r="J9" s="16" t="s">
        <v>23</v>
      </c>
      <c r="K9" s="1">
        <f t="shared" si="1"/>
      </c>
      <c r="L9" s="1">
        <f t="shared" si="2"/>
      </c>
      <c r="N9" s="20" t="str">
        <f>BM11</f>
        <v>Denmark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2">
        <f t="shared" si="0"/>
        <v>0</v>
      </c>
      <c r="X9" s="1" t="s">
        <v>74</v>
      </c>
      <c r="Y9" s="1">
        <f>COUNT(Senegal_Played)</f>
        <v>0</v>
      </c>
      <c r="Z9" s="1">
        <f>COUNTIF(Groupstage_Winners,"Senegal")</f>
        <v>0</v>
      </c>
      <c r="AA9" s="1">
        <f>COUNTIF(Groupstage_Losers,"Senegal")</f>
        <v>0</v>
      </c>
      <c r="AB9" s="1">
        <f>Y9-(Z9+AA9)</f>
        <v>0</v>
      </c>
      <c r="AC9" s="1">
        <f>SUM(Senegal_Played)</f>
        <v>0</v>
      </c>
      <c r="AD9" s="1">
        <f>SUM(Senegal_Against)</f>
        <v>0</v>
      </c>
      <c r="AE9" s="1">
        <f>AC9-AD9</f>
        <v>0</v>
      </c>
      <c r="AF9" s="1">
        <f>Z9*Winpoints+AB9*Drawpoints</f>
        <v>0</v>
      </c>
      <c r="AG9" s="1" t="str">
        <f>IF($AF9&lt;=$AF8,$X9,$X8)</f>
        <v>Senegal</v>
      </c>
      <c r="AH9" s="1">
        <f>VLOOKUP($AG9,$X8:$AF11,9,FALSE)</f>
        <v>0</v>
      </c>
      <c r="AI9" s="1" t="str">
        <f>IF(AH9&gt;=AH11,AG9,AG11)</f>
        <v>Senegal</v>
      </c>
      <c r="AJ9" s="1">
        <f>VLOOKUP($AI9,$X8:$AF11,9,FALSE)</f>
        <v>0</v>
      </c>
      <c r="AK9" s="1" t="str">
        <f>IF($AJ9&gt;=$AJ10,$AI9,$AI10)</f>
        <v>Senegal</v>
      </c>
      <c r="AL9" s="1">
        <f>VLOOKUP($AK9,$X8:$AF11,9,FALSE)</f>
        <v>0</v>
      </c>
      <c r="AM9" s="1">
        <f>VLOOKUP($AK9,$X8:$AF11,8,FALSE)</f>
        <v>0</v>
      </c>
      <c r="AN9" s="1" t="str">
        <f>IF(AND($AL8=$AL9,$AM9&gt;$AM8),$AK8,$AK9)</f>
        <v>Senegal</v>
      </c>
      <c r="AO9" s="1">
        <f>VLOOKUP($AN9,$X8:$AF11,9,FALSE)</f>
        <v>0</v>
      </c>
      <c r="AP9" s="1">
        <f>VLOOKUP($AN9,$X8:$AF11,8,FALSE)</f>
        <v>0</v>
      </c>
      <c r="AQ9" s="1" t="str">
        <f>IF(AND($AO9=$AO11,$AP11&gt;$AP9),$AN11,$AN9)</f>
        <v>Senegal</v>
      </c>
      <c r="AR9" s="1">
        <f>VLOOKUP($AQ9,$X8:$AF11,9,FALSE)</f>
        <v>0</v>
      </c>
      <c r="AS9" s="1">
        <f>VLOOKUP($AQ9,$X8:$AF11,8,FALSE)</f>
        <v>0</v>
      </c>
      <c r="AT9" s="1" t="str">
        <f>IF(AND($AR9=$AR10,$AS10&gt;$AS9),$AQ10,$AQ9)</f>
        <v>Senegal</v>
      </c>
      <c r="AU9" s="1">
        <f>VLOOKUP($AT9,$X8:$AF11,9,FALSE)</f>
        <v>0</v>
      </c>
      <c r="AV9" s="1">
        <f>VLOOKUP($AT9,$X8:$AF11,8,FALSE)</f>
        <v>0</v>
      </c>
      <c r="AW9" s="1">
        <f>VLOOKUP($AT9,$X8:$AF11,6,FALSE)</f>
        <v>0</v>
      </c>
      <c r="AX9" s="1" t="str">
        <f>IF(AND($AU8=$AU9,$AV8=$AV9,$AW9&gt;$AW8),$AT8,$AT9)</f>
        <v>Senegal</v>
      </c>
      <c r="AY9" s="1">
        <f>VLOOKUP($AX9,$X8:$AF11,9,FALSE)</f>
        <v>0</v>
      </c>
      <c r="AZ9" s="1">
        <f>VLOOKUP($AX9,$X8:$AF11,8,FALSE)</f>
        <v>0</v>
      </c>
      <c r="BA9" s="1">
        <f>VLOOKUP($AX9,$X8:$AF11,6,FALSE)</f>
        <v>0</v>
      </c>
      <c r="BB9" s="1" t="str">
        <f>IF(AND($AY9=$AY11,$AZ9=$AZ11,$BA11&gt;$BA9),$AX11,$AX9)</f>
        <v>Senegal</v>
      </c>
      <c r="BC9" s="1">
        <f>VLOOKUP($BB9,$X8:$AF11,9,FALSE)</f>
        <v>0</v>
      </c>
      <c r="BD9" s="1">
        <f>VLOOKUP($BB9,$X8:$AF11,8,FALSE)</f>
        <v>0</v>
      </c>
      <c r="BE9" s="1">
        <f>VLOOKUP($BB9,$X8:$AF11,6,FALSE)</f>
        <v>0</v>
      </c>
      <c r="BF9" s="1" t="str">
        <f>IF(AND($BC9=$BC10,$BD9=$BD10,$BE10&gt;$BE9),$BB10,$BB9)</f>
        <v>Senegal</v>
      </c>
      <c r="BG9" s="1">
        <f>VLOOKUP($BF9,$X8:$AF11,9,FALSE)</f>
        <v>0</v>
      </c>
      <c r="BH9" s="1">
        <f>VLOOKUP($BF9,$X8:$AF11,8,FALSE)</f>
        <v>0</v>
      </c>
      <c r="BI9" s="1">
        <f>VLOOKUP($BF9,$X8:$AF11,6,FALSE)</f>
        <v>0</v>
      </c>
      <c r="BM9" s="1" t="str">
        <f>BF9</f>
        <v>Senegal</v>
      </c>
      <c r="BN9" s="1">
        <f>VLOOKUP($BM9,$X8:$AF11,2,FALSE)</f>
        <v>0</v>
      </c>
      <c r="BO9" s="1">
        <f>VLOOKUP($BM9,$X8:$AF11,3,FALSE)</f>
        <v>0</v>
      </c>
      <c r="BP9" s="1">
        <f>VLOOKUP($BM9,$X8:$AF11,4,FALSE)</f>
        <v>0</v>
      </c>
      <c r="BQ9" s="1">
        <f>VLOOKUP($BM9,$X8:$AF11,5,FALSE)</f>
        <v>0</v>
      </c>
      <c r="BR9" s="1">
        <f>VLOOKUP($BM9,$X8:$AF11,6,FALSE)</f>
        <v>0</v>
      </c>
      <c r="BS9" s="1">
        <f>VLOOKUP($BM9,$X8:$AF11,7,FALSE)</f>
        <v>0</v>
      </c>
      <c r="BT9" s="1">
        <f>VLOOKUP($BM9,$X8:$AF11,8,FALSE)</f>
        <v>0</v>
      </c>
      <c r="BU9" s="1">
        <f>VLOOKUP($BM9,$X8:$AF11,9,FALSE)</f>
        <v>0</v>
      </c>
    </row>
    <row r="10" spans="2:73" ht="12.75" thickBot="1">
      <c r="B10" s="10">
        <v>37043</v>
      </c>
      <c r="C10" s="11">
        <v>0.8541666666666666</v>
      </c>
      <c r="D10" s="11">
        <f t="shared" si="3"/>
        <v>0.5208333333333333</v>
      </c>
      <c r="E10" s="28" t="s">
        <v>88</v>
      </c>
      <c r="F10" s="13"/>
      <c r="G10" s="14"/>
      <c r="H10" s="12" t="s">
        <v>89</v>
      </c>
      <c r="I10" s="15" t="s">
        <v>47</v>
      </c>
      <c r="J10" s="16" t="s">
        <v>46</v>
      </c>
      <c r="K10" s="1">
        <f t="shared" si="1"/>
      </c>
      <c r="L10" s="1">
        <f t="shared" si="2"/>
      </c>
      <c r="X10" s="1" t="s">
        <v>75</v>
      </c>
      <c r="Y10" s="1">
        <f>COUNT(Uruguay_Played)</f>
        <v>0</v>
      </c>
      <c r="Z10" s="1">
        <f>COUNTIF(Groupstage_Winners,"Uruguay")</f>
        <v>0</v>
      </c>
      <c r="AA10" s="1">
        <f>COUNTIF(Groupstage_Losers,"Uruguay")</f>
        <v>0</v>
      </c>
      <c r="AB10" s="1">
        <f>Y10-(Z10+AA10)</f>
        <v>0</v>
      </c>
      <c r="AC10" s="1">
        <f>SUM(Uruguay_Played)</f>
        <v>0</v>
      </c>
      <c r="AD10" s="1">
        <f>SUM(Uruguay_Against)</f>
        <v>0</v>
      </c>
      <c r="AE10" s="1">
        <f>AC10-AD10</f>
        <v>0</v>
      </c>
      <c r="AF10" s="1">
        <f>Z10*Winpoints+AB10*Drawpoints</f>
        <v>0</v>
      </c>
      <c r="AG10" s="1" t="str">
        <f>IF($AF10&gt;=$AF11,$X10,$X11)</f>
        <v>Uruguay</v>
      </c>
      <c r="AH10" s="1">
        <f>VLOOKUP($AG10,$X8:$AF11,9,FALSE)</f>
        <v>0</v>
      </c>
      <c r="AI10" s="1" t="str">
        <f>IF($AH10&lt;=$AH8,$AG10,$AG8)</f>
        <v>Uruguay</v>
      </c>
      <c r="AJ10" s="1">
        <f>VLOOKUP($AI10,$X8:$AF11,9,FALSE)</f>
        <v>0</v>
      </c>
      <c r="AK10" s="1" t="str">
        <f>IF($AJ10&lt;=$AJ9,$AI10,$AI9)</f>
        <v>Uruguay</v>
      </c>
      <c r="AL10" s="1">
        <f>VLOOKUP($AK10,$X8:$AF11,9,FALSE)</f>
        <v>0</v>
      </c>
      <c r="AM10" s="1">
        <f>VLOOKUP($AK10,$X8:$AF11,8,FALSE)</f>
        <v>0</v>
      </c>
      <c r="AN10" s="1" t="str">
        <f>IF(AND($AL10=$AL11,$AM11&gt;$AM10),$AK11,$AK10)</f>
        <v>Uruguay</v>
      </c>
      <c r="AO10" s="1">
        <f>VLOOKUP($AN10,$X8:$AF11,9,FALSE)</f>
        <v>0</v>
      </c>
      <c r="AP10" s="1">
        <f>VLOOKUP($AN10,$X8:$AF11,8,FALSE)</f>
        <v>0</v>
      </c>
      <c r="AQ10" s="1" t="str">
        <f>IF(AND($AO8=$AO10,$AP10&gt;$AP8),$AN8,$AN10)</f>
        <v>Uruguay</v>
      </c>
      <c r="AR10" s="1">
        <f>VLOOKUP($AQ10,$X8:$AF11,9,FALSE)</f>
        <v>0</v>
      </c>
      <c r="AS10" s="1">
        <f>VLOOKUP($AQ10,$X8:$AF11,8,FALSE)</f>
        <v>0</v>
      </c>
      <c r="AT10" s="1" t="str">
        <f>IF(AND($AR9=$AR10,$AS10&gt;$AS9),$AQ9,$AQ10)</f>
        <v>Uruguay</v>
      </c>
      <c r="AU10" s="1">
        <f>VLOOKUP($AT10,$X8:$AF11,9,FALSE)</f>
        <v>0</v>
      </c>
      <c r="AV10" s="1">
        <f>VLOOKUP($AT10,$X8:$AF11,8,FALSE)</f>
        <v>0</v>
      </c>
      <c r="AW10" s="1">
        <f>VLOOKUP($AT10,$X8:$AF11,6,FALSE)</f>
        <v>0</v>
      </c>
      <c r="AX10" s="1" t="str">
        <f>IF(AND($AU10=$AU11,$AV10=$AV11,$AW11&gt;$AW10),$AT11,$AT10)</f>
        <v>Uruguay</v>
      </c>
      <c r="AY10" s="1">
        <f>VLOOKUP($AX10,$X8:$AF11,9,FALSE)</f>
        <v>0</v>
      </c>
      <c r="AZ10" s="1">
        <f>VLOOKUP($AX10,$X8:$AF11,8,FALSE)</f>
        <v>0</v>
      </c>
      <c r="BA10" s="1">
        <f>VLOOKUP($AX10,$X8:$AF11,6,FALSE)</f>
        <v>0</v>
      </c>
      <c r="BB10" s="1" t="str">
        <f>IF(AND($AY8=$AY10,$AZ8=$AZ10,$BA9&gt;$BA8),$AX8,$AX10)</f>
        <v>Uruguay</v>
      </c>
      <c r="BC10" s="1">
        <f>VLOOKUP($BB10,$X8:$AF11,9,FALSE)</f>
        <v>0</v>
      </c>
      <c r="BD10" s="1">
        <f>VLOOKUP($BB10,$X8:$AF11,8,FALSE)</f>
        <v>0</v>
      </c>
      <c r="BE10" s="1">
        <f>VLOOKUP($BB10,$X8:$AF11,6,FALSE)</f>
        <v>0</v>
      </c>
      <c r="BF10" s="1" t="str">
        <f>IF(AND($BC9=$BC10,$BD9=$BD10,$BE10&gt;$BE9),$BB9,$BB10)</f>
        <v>Uruguay</v>
      </c>
      <c r="BG10" s="1">
        <f>VLOOKUP($BF10,$X8:$AF11,9,FALSE)</f>
        <v>0</v>
      </c>
      <c r="BH10" s="1">
        <f>VLOOKUP($BF10,$X8:$AF11,8,FALSE)</f>
        <v>0</v>
      </c>
      <c r="BI10" s="1">
        <f>VLOOKUP($BF10,$X8:$AF11,6,FALSE)</f>
        <v>0</v>
      </c>
      <c r="BM10" s="1" t="str">
        <f>BF10</f>
        <v>Uruguay</v>
      </c>
      <c r="BN10" s="1">
        <f>VLOOKUP($BM10,$X8:$AF11,2,FALSE)</f>
        <v>0</v>
      </c>
      <c r="BO10" s="1">
        <f>VLOOKUP($BM10,$X8:$AF11,3,FALSE)</f>
        <v>0</v>
      </c>
      <c r="BP10" s="1">
        <f>VLOOKUP($BM10,$X8:$AF11,4,FALSE)</f>
        <v>0</v>
      </c>
      <c r="BQ10" s="1">
        <f>VLOOKUP($BM10,$X8:$AF11,5,FALSE)</f>
        <v>0</v>
      </c>
      <c r="BR10" s="1">
        <f>VLOOKUP($BM10,$X8:$AF11,6,FALSE)</f>
        <v>0</v>
      </c>
      <c r="BS10" s="1">
        <f>VLOOKUP($BM10,$X8:$AF11,7,FALSE)</f>
        <v>0</v>
      </c>
      <c r="BT10" s="1">
        <f>VLOOKUP($BM10,$X8:$AF11,8,FALSE)</f>
        <v>0</v>
      </c>
      <c r="BU10" s="1">
        <f>VLOOKUP($BM10,$X8:$AF11,9,FALSE)</f>
        <v>0</v>
      </c>
    </row>
    <row r="11" spans="2:73" ht="16.5" thickBot="1">
      <c r="B11" s="10">
        <v>37408</v>
      </c>
      <c r="C11" s="11">
        <v>0.6041666666666666</v>
      </c>
      <c r="D11" s="11">
        <f t="shared" si="3"/>
        <v>0.2708333333333333</v>
      </c>
      <c r="E11" s="28" t="s">
        <v>94</v>
      </c>
      <c r="F11" s="13"/>
      <c r="G11" s="14"/>
      <c r="H11" s="12" t="s">
        <v>95</v>
      </c>
      <c r="I11" s="15" t="s">
        <v>48</v>
      </c>
      <c r="J11" s="16" t="s">
        <v>22</v>
      </c>
      <c r="K11" s="1">
        <f t="shared" si="1"/>
      </c>
      <c r="L11" s="1">
        <f t="shared" si="2"/>
      </c>
      <c r="N11" s="2" t="s">
        <v>31</v>
      </c>
      <c r="O11" s="3"/>
      <c r="P11" s="3"/>
      <c r="Q11" s="3"/>
      <c r="R11" s="3"/>
      <c r="S11" s="3"/>
      <c r="T11" s="3"/>
      <c r="U11" s="3"/>
      <c r="V11" s="4"/>
      <c r="X11" s="1" t="s">
        <v>76</v>
      </c>
      <c r="Y11" s="1">
        <f>COUNT(Denmark_Played)</f>
        <v>0</v>
      </c>
      <c r="Z11" s="1">
        <f>COUNTIF(Groupstage_Winners,"Denmark")</f>
        <v>0</v>
      </c>
      <c r="AA11" s="1">
        <f>COUNTIF(Groupstage_Losers,"Denmark")</f>
        <v>0</v>
      </c>
      <c r="AB11" s="1">
        <f>Y11-(Z11+AA11)</f>
        <v>0</v>
      </c>
      <c r="AC11" s="1">
        <f>SUM(Denmark_Played)</f>
        <v>0</v>
      </c>
      <c r="AD11" s="1">
        <f>SUM(Denmark_Against)</f>
        <v>0</v>
      </c>
      <c r="AE11" s="1">
        <f>AC11-AD11</f>
        <v>0</v>
      </c>
      <c r="AF11" s="1">
        <f>Z11*Winpoints+AB11*Drawpoints</f>
        <v>0</v>
      </c>
      <c r="AG11" s="1" t="str">
        <f>IF($AF11&lt;=$AF10,$X11,$X10)</f>
        <v>Denmark</v>
      </c>
      <c r="AH11" s="1">
        <f>VLOOKUP($AG11,$X8:$AF11,9,FALSE)</f>
        <v>0</v>
      </c>
      <c r="AI11" s="1" t="str">
        <f>IF(AH11&lt;=AH9,AG11,AG9)</f>
        <v>Denmark</v>
      </c>
      <c r="AJ11" s="1">
        <f>VLOOKUP($AI11,$X8:$AF11,9,FALSE)</f>
        <v>0</v>
      </c>
      <c r="AK11" s="1" t="str">
        <f>IF($AJ11&lt;=$AJ8,$AI11,$AI8)</f>
        <v>Denmark</v>
      </c>
      <c r="AL11" s="1">
        <f>VLOOKUP($AK11,$X8:$AF11,9,FALSE)</f>
        <v>0</v>
      </c>
      <c r="AM11" s="1">
        <f>VLOOKUP($AK11,$X8:$AF11,8,FALSE)</f>
        <v>0</v>
      </c>
      <c r="AN11" s="1" t="str">
        <f>IF(AND($AL10=$AL11,$AM11&gt;$AM10),$AK10,$AK11)</f>
        <v>Denmark</v>
      </c>
      <c r="AO11" s="1">
        <f>VLOOKUP($AN11,$X8:$AF11,9,FALSE)</f>
        <v>0</v>
      </c>
      <c r="AP11" s="1">
        <f>VLOOKUP($AN11,$X8:$AF11,8,FALSE)</f>
        <v>0</v>
      </c>
      <c r="AQ11" s="1" t="str">
        <f>IF(AND($AO9=$AO11,$AP11&gt;$AP9),$AN9,$AN11)</f>
        <v>Denmark</v>
      </c>
      <c r="AR11" s="1">
        <f>VLOOKUP($AQ11,$X8:$AF11,9,FALSE)</f>
        <v>0</v>
      </c>
      <c r="AS11" s="1">
        <f>VLOOKUP($AQ11,$X8:$AF11,8,FALSE)</f>
        <v>0</v>
      </c>
      <c r="AT11" s="1" t="str">
        <f>IF(AND($AR8=$AR11,$AS11&gt;$AS8),$AQ8,$AQ11)</f>
        <v>Denmark</v>
      </c>
      <c r="AU11" s="1">
        <f>VLOOKUP($AT11,$X8:$AF11,9,FALSE)</f>
        <v>0</v>
      </c>
      <c r="AV11" s="1">
        <f>VLOOKUP($AT11,$X8:$AF11,8,FALSE)</f>
        <v>0</v>
      </c>
      <c r="AW11" s="1">
        <f>VLOOKUP($AT11,$X8:$AF11,6,FALSE)</f>
        <v>0</v>
      </c>
      <c r="AX11" s="1" t="str">
        <f>IF(AND($AU10=$AU11,$AV10=$AV11,$AW11&gt;$AW10),$AT10,$AT11)</f>
        <v>Denmark</v>
      </c>
      <c r="AY11" s="1">
        <f>VLOOKUP($AX11,$X8:$AF11,9,FALSE)</f>
        <v>0</v>
      </c>
      <c r="AZ11" s="1">
        <f>VLOOKUP($AX11,$X8:$AF11,8,FALSE)</f>
        <v>0</v>
      </c>
      <c r="BA11" s="1">
        <f>VLOOKUP($AX11,$X8:$AF11,6,FALSE)</f>
        <v>0</v>
      </c>
      <c r="BB11" s="1" t="str">
        <f>IF(AND($AY9=$AY11,$AZ9=$AZ11,$BA11&gt;$BA9),$AX9,$AX11)</f>
        <v>Denmark</v>
      </c>
      <c r="BC11" s="1">
        <f>VLOOKUP($BB11,$X8:$AF11,9,FALSE)</f>
        <v>0</v>
      </c>
      <c r="BD11" s="1">
        <f>VLOOKUP($BB11,$X8:$AF11,8,FALSE)</f>
        <v>0</v>
      </c>
      <c r="BE11" s="1">
        <f>VLOOKUP($BB11,$X8:$AF11,6,FALSE)</f>
        <v>0</v>
      </c>
      <c r="BF11" s="1" t="str">
        <f>IF(AND($BC8=$BC11,$BD8=$BD11,$BE11&gt;$BE8),$BB8,$BB11)</f>
        <v>Denmark</v>
      </c>
      <c r="BG11" s="1">
        <f>VLOOKUP($BF11,$X8:$AF11,9,FALSE)</f>
        <v>0</v>
      </c>
      <c r="BH11" s="1">
        <f>VLOOKUP($BF11,$X8:$AF11,8,FALSE)</f>
        <v>0</v>
      </c>
      <c r="BI11" s="1">
        <f>VLOOKUP($BF11,$X8:$AF11,6,FALSE)</f>
        <v>0</v>
      </c>
      <c r="BM11" s="1" t="str">
        <f>BF11</f>
        <v>Denmark</v>
      </c>
      <c r="BN11" s="1">
        <f>VLOOKUP($BM11,$X8:$AF11,2,FALSE)</f>
        <v>0</v>
      </c>
      <c r="BO11" s="1">
        <f>VLOOKUP($BM11,$X8:$AF11,3,FALSE)</f>
        <v>0</v>
      </c>
      <c r="BP11" s="1">
        <f>VLOOKUP($BM11,$X8:$AF11,4,FALSE)</f>
        <v>0</v>
      </c>
      <c r="BQ11" s="1">
        <f>VLOOKUP($BM11,$X8:$AF11,5,FALSE)</f>
        <v>0</v>
      </c>
      <c r="BR11" s="1">
        <f>VLOOKUP($BM11,$X8:$AF11,6,FALSE)</f>
        <v>0</v>
      </c>
      <c r="BS11" s="1">
        <f>VLOOKUP($BM11,$X8:$AF11,7,FALSE)</f>
        <v>0</v>
      </c>
      <c r="BT11" s="1">
        <f>VLOOKUP($BM11,$X8:$AF11,8,FALSE)</f>
        <v>0</v>
      </c>
      <c r="BU11" s="1">
        <f>VLOOKUP($BM11,$X8:$AF11,9,FALSE)</f>
        <v>0</v>
      </c>
    </row>
    <row r="12" spans="2:22" ht="12.75" thickBot="1">
      <c r="B12" s="10">
        <v>37408</v>
      </c>
      <c r="C12" s="11">
        <v>0.6875</v>
      </c>
      <c r="D12" s="11">
        <f t="shared" si="3"/>
        <v>0.3541666666666667</v>
      </c>
      <c r="E12" s="28" t="s">
        <v>79</v>
      </c>
      <c r="F12" s="13"/>
      <c r="G12" s="14"/>
      <c r="H12" s="12" t="s">
        <v>80</v>
      </c>
      <c r="I12" s="15" t="s">
        <v>49</v>
      </c>
      <c r="J12" s="16" t="s">
        <v>26</v>
      </c>
      <c r="K12" s="1">
        <f t="shared" si="1"/>
      </c>
      <c r="L12" s="1">
        <f t="shared" si="2"/>
      </c>
      <c r="N12" s="7"/>
      <c r="O12" s="8" t="s">
        <v>18</v>
      </c>
      <c r="P12" s="8" t="s">
        <v>19</v>
      </c>
      <c r="Q12" s="8" t="s">
        <v>20</v>
      </c>
      <c r="R12" s="8" t="s">
        <v>21</v>
      </c>
      <c r="S12" s="8" t="s">
        <v>22</v>
      </c>
      <c r="T12" s="8" t="s">
        <v>23</v>
      </c>
      <c r="U12" s="8" t="s">
        <v>24</v>
      </c>
      <c r="V12" s="9" t="s">
        <v>25</v>
      </c>
    </row>
    <row r="13" spans="2:24" ht="12.75" thickBot="1">
      <c r="B13" s="10">
        <v>37408</v>
      </c>
      <c r="C13" s="11">
        <v>0.7708333333333334</v>
      </c>
      <c r="D13" s="11">
        <f t="shared" si="3"/>
        <v>0.43750000000000006</v>
      </c>
      <c r="E13" s="28" t="s">
        <v>92</v>
      </c>
      <c r="F13" s="13"/>
      <c r="G13" s="14"/>
      <c r="H13" s="12" t="s">
        <v>93</v>
      </c>
      <c r="I13" s="15" t="s">
        <v>50</v>
      </c>
      <c r="J13" s="16" t="s">
        <v>22</v>
      </c>
      <c r="K13" s="1">
        <f t="shared" si="1"/>
      </c>
      <c r="L13" s="1">
        <f t="shared" si="2"/>
      </c>
      <c r="N13" s="17" t="str">
        <f aca="true" t="shared" si="4" ref="N13:V16">BM15</f>
        <v>Spain</v>
      </c>
      <c r="O13" s="18">
        <f t="shared" si="4"/>
        <v>0</v>
      </c>
      <c r="P13" s="18">
        <f t="shared" si="4"/>
        <v>0</v>
      </c>
      <c r="Q13" s="18">
        <f t="shared" si="4"/>
        <v>0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0</v>
      </c>
      <c r="V13" s="19">
        <f t="shared" si="4"/>
        <v>0</v>
      </c>
      <c r="X13" s="1" t="s">
        <v>31</v>
      </c>
    </row>
    <row r="14" spans="2:32" ht="12.75" thickBot="1">
      <c r="B14" s="10">
        <v>37408</v>
      </c>
      <c r="C14" s="11">
        <v>0.8541666666666666</v>
      </c>
      <c r="D14" s="11">
        <f t="shared" si="3"/>
        <v>0.5208333333333333</v>
      </c>
      <c r="E14" s="28" t="s">
        <v>77</v>
      </c>
      <c r="F14" s="13"/>
      <c r="G14" s="14"/>
      <c r="H14" s="12" t="s">
        <v>78</v>
      </c>
      <c r="I14" s="15" t="s">
        <v>51</v>
      </c>
      <c r="J14" s="16" t="s">
        <v>26</v>
      </c>
      <c r="K14" s="1">
        <f t="shared" si="1"/>
      </c>
      <c r="L14" s="1">
        <f t="shared" si="2"/>
      </c>
      <c r="N14" s="17" t="str">
        <f t="shared" si="4"/>
        <v>Slovenia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9">
        <f t="shared" si="4"/>
        <v>0</v>
      </c>
      <c r="Y14" s="1" t="s">
        <v>27</v>
      </c>
      <c r="Z14" s="1" t="s">
        <v>19</v>
      </c>
      <c r="AA14" s="1" t="s">
        <v>20</v>
      </c>
      <c r="AB14" s="1" t="s">
        <v>21</v>
      </c>
      <c r="AC14" s="1" t="s">
        <v>22</v>
      </c>
      <c r="AD14" s="1" t="s">
        <v>23</v>
      </c>
      <c r="AE14" s="1" t="s">
        <v>24</v>
      </c>
      <c r="AF14" s="1" t="s">
        <v>28</v>
      </c>
    </row>
    <row r="15" spans="2:73" ht="12.75" thickBot="1">
      <c r="B15" s="10">
        <v>37773</v>
      </c>
      <c r="C15" s="11">
        <v>0.6458333333333334</v>
      </c>
      <c r="D15" s="11">
        <f t="shared" si="3"/>
        <v>0.31250000000000006</v>
      </c>
      <c r="E15" s="28" t="s">
        <v>98</v>
      </c>
      <c r="F15" s="13"/>
      <c r="G15" s="14"/>
      <c r="H15" s="12" t="s">
        <v>99</v>
      </c>
      <c r="I15" s="15" t="s">
        <v>44</v>
      </c>
      <c r="J15" s="16" t="s">
        <v>53</v>
      </c>
      <c r="K15" s="1">
        <f t="shared" si="1"/>
      </c>
      <c r="L15" s="1">
        <f t="shared" si="2"/>
      </c>
      <c r="N15" s="17" t="str">
        <f t="shared" si="4"/>
        <v>Paraguay</v>
      </c>
      <c r="O15" s="18">
        <f t="shared" si="4"/>
        <v>0</v>
      </c>
      <c r="P15" s="18">
        <f t="shared" si="4"/>
        <v>0</v>
      </c>
      <c r="Q15" s="18">
        <f t="shared" si="4"/>
        <v>0</v>
      </c>
      <c r="R15" s="18">
        <f t="shared" si="4"/>
        <v>0</v>
      </c>
      <c r="S15" s="18">
        <f t="shared" si="4"/>
        <v>0</v>
      </c>
      <c r="T15" s="18">
        <f t="shared" si="4"/>
        <v>0</v>
      </c>
      <c r="U15" s="18">
        <f t="shared" si="4"/>
        <v>0</v>
      </c>
      <c r="V15" s="19">
        <f t="shared" si="4"/>
        <v>0</v>
      </c>
      <c r="X15" s="1" t="s">
        <v>77</v>
      </c>
      <c r="Y15" s="1">
        <f>COUNT(Spain_Played)</f>
        <v>0</v>
      </c>
      <c r="Z15" s="1">
        <f>COUNTIF(Groupstage_Winners,"Spain")</f>
        <v>0</v>
      </c>
      <c r="AA15" s="1">
        <f>COUNTIF(Groupstage_Losers,"Spain")</f>
        <v>0</v>
      </c>
      <c r="AB15" s="1">
        <f>Y15-(Z15+AA15)</f>
        <v>0</v>
      </c>
      <c r="AC15" s="1">
        <f>SUM(Spain_Played)</f>
        <v>0</v>
      </c>
      <c r="AD15" s="1">
        <f>SUM(Spain_Against)</f>
        <v>0</v>
      </c>
      <c r="AE15" s="1">
        <f>AC15-AD15</f>
        <v>0</v>
      </c>
      <c r="AF15" s="1">
        <f>Z15*Winpoints+AB15*Drawpoints</f>
        <v>0</v>
      </c>
      <c r="AG15" s="1" t="str">
        <f>IF($AF15&gt;=$AF16,$X15,$X16)</f>
        <v>Spain</v>
      </c>
      <c r="AH15" s="1">
        <f>VLOOKUP($AG15,$X15:$AF18,9,FALSE)</f>
        <v>0</v>
      </c>
      <c r="AI15" s="1" t="str">
        <f>IF($AH15&gt;=$AH17,$AG15,$AG17)</f>
        <v>Spain</v>
      </c>
      <c r="AJ15" s="1">
        <f>VLOOKUP($AI15,$X15:$AF18,9,FALSE)</f>
        <v>0</v>
      </c>
      <c r="AK15" s="1" t="str">
        <f>IF($AJ15&gt;=$AJ18,$AI15,$AI18)</f>
        <v>Spain</v>
      </c>
      <c r="AL15" s="1">
        <f>VLOOKUP($AK15,$X15:$AF18,9,FALSE)</f>
        <v>0</v>
      </c>
      <c r="AM15" s="1">
        <f>VLOOKUP($AK15,$X15:$AF18,8,FALSE)</f>
        <v>0</v>
      </c>
      <c r="AN15" s="1" t="str">
        <f>IF(AND($AL15=$AL16,$AM16&gt;$AM15),$AK16,$AK15)</f>
        <v>Spain</v>
      </c>
      <c r="AO15" s="1">
        <f>VLOOKUP($AN15,$X15:$AF18,9,FALSE)</f>
        <v>0</v>
      </c>
      <c r="AP15" s="1">
        <f>VLOOKUP($AN15,$X15:$AF18,8,FALSE)</f>
        <v>0</v>
      </c>
      <c r="AQ15" s="1" t="str">
        <f>IF(AND($AO15=$AO17,$AP17&gt;$AP15),$AN17,$AN15)</f>
        <v>Spain</v>
      </c>
      <c r="AR15" s="1">
        <f>VLOOKUP($AQ15,$X15:$AF18,9,FALSE)</f>
        <v>0</v>
      </c>
      <c r="AS15" s="1">
        <f>VLOOKUP($AQ15,$X15:$AF18,8,FALSE)</f>
        <v>0</v>
      </c>
      <c r="AT15" s="1" t="str">
        <f>IF(AND($AR15=$AR18,$AS18&gt;$AS15),$AQ18,$AQ15)</f>
        <v>Spain</v>
      </c>
      <c r="AU15" s="1">
        <f>VLOOKUP($AT15,$X15:$AF18,9,FALSE)</f>
        <v>0</v>
      </c>
      <c r="AV15" s="1">
        <f>VLOOKUP($AT15,$X15:$AF18,8,FALSE)</f>
        <v>0</v>
      </c>
      <c r="AW15" s="1">
        <f>VLOOKUP($AT15,$X15:$AF18,6,FALSE)</f>
        <v>0</v>
      </c>
      <c r="AX15" s="1" t="str">
        <f>IF(AND($AU15=$AU16,$AV15=$AV16,$AW16&gt;$AW15),$AT16,$AT15)</f>
        <v>Spain</v>
      </c>
      <c r="AY15" s="1">
        <f>VLOOKUP($AX15,$X15:$AF18,9,FALSE)</f>
        <v>0</v>
      </c>
      <c r="AZ15" s="1">
        <f>VLOOKUP($AX15,$X15:$AF18,8,FALSE)</f>
        <v>0</v>
      </c>
      <c r="BA15" s="1">
        <f>VLOOKUP($AX15,$X15:$AF18,6,FALSE)</f>
        <v>0</v>
      </c>
      <c r="BB15" s="1" t="str">
        <f>IF(AND($AY15=$AY17,$AZ15=$AZ17,$BA17&gt;$BA15),$AX17,$AX15)</f>
        <v>Spain</v>
      </c>
      <c r="BC15" s="1">
        <f>VLOOKUP($BB15,$X15:$AF18,9,FALSE)</f>
        <v>0</v>
      </c>
      <c r="BD15" s="1">
        <f>VLOOKUP($BB15,$X15:$AF18,8,FALSE)</f>
        <v>0</v>
      </c>
      <c r="BE15" s="1">
        <f>VLOOKUP($BB15,$X15:$AF18,6,FALSE)</f>
        <v>0</v>
      </c>
      <c r="BF15" s="1" t="str">
        <f>IF(AND($BC15=$BC18,$BD15=$BD18,$BE18&gt;$BE15),$BB18,$BB15)</f>
        <v>Spain</v>
      </c>
      <c r="BG15" s="1">
        <f>VLOOKUP($BF15,$X15:$AF18,9,FALSE)</f>
        <v>0</v>
      </c>
      <c r="BH15" s="1">
        <f>VLOOKUP($BF15,$X15:$AF18,8,FALSE)</f>
        <v>0</v>
      </c>
      <c r="BI15" s="1">
        <f>VLOOKUP($BF15,$X15:$AF18,6,FALSE)</f>
        <v>0</v>
      </c>
      <c r="BM15" s="1" t="str">
        <f>BF15</f>
        <v>Spain</v>
      </c>
      <c r="BN15" s="1">
        <f>VLOOKUP($BM15,$X15:$AF18,2,FALSE)</f>
        <v>0</v>
      </c>
      <c r="BO15" s="1">
        <f>VLOOKUP($BM15,$X15:$AF18,3,FALSE)</f>
        <v>0</v>
      </c>
      <c r="BP15" s="1">
        <f>VLOOKUP($BM15,$X15:$AF18,4,FALSE)</f>
        <v>0</v>
      </c>
      <c r="BQ15" s="1">
        <f>VLOOKUP($BM15,$X15:$AF18,5,FALSE)</f>
        <v>0</v>
      </c>
      <c r="BR15" s="1">
        <f>VLOOKUP($BM15,$X15:$AF18,6,FALSE)</f>
        <v>0</v>
      </c>
      <c r="BS15" s="1">
        <f>VLOOKUP($BM15,$X15:$AF18,7,FALSE)</f>
        <v>0</v>
      </c>
      <c r="BT15" s="1">
        <f>VLOOKUP($BM15,$X15:$AF18,8,FALSE)</f>
        <v>0</v>
      </c>
      <c r="BU15" s="1">
        <f>VLOOKUP($BM15,$X15:$AF18,9,FALSE)</f>
        <v>0</v>
      </c>
    </row>
    <row r="16" spans="2:73" ht="12.75" thickBot="1">
      <c r="B16" s="10">
        <v>37773</v>
      </c>
      <c r="C16" s="11">
        <v>0.75</v>
      </c>
      <c r="D16" s="11">
        <f t="shared" si="3"/>
        <v>0.4166666666666667</v>
      </c>
      <c r="E16" s="28" t="s">
        <v>81</v>
      </c>
      <c r="F16" s="13"/>
      <c r="G16" s="14"/>
      <c r="H16" s="12" t="s">
        <v>82</v>
      </c>
      <c r="I16" s="15" t="s">
        <v>45</v>
      </c>
      <c r="J16" s="16" t="s">
        <v>32</v>
      </c>
      <c r="K16" s="1">
        <f t="shared" si="1"/>
      </c>
      <c r="L16" s="1">
        <f t="shared" si="2"/>
      </c>
      <c r="N16" s="20" t="str">
        <f t="shared" si="4"/>
        <v>South Africa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T16" s="21">
        <f t="shared" si="4"/>
        <v>0</v>
      </c>
      <c r="U16" s="21">
        <f t="shared" si="4"/>
        <v>0</v>
      </c>
      <c r="V16" s="22">
        <f t="shared" si="4"/>
        <v>0</v>
      </c>
      <c r="X16" s="1" t="s">
        <v>78</v>
      </c>
      <c r="Y16" s="1">
        <f>COUNT(Slovenia_Played)</f>
        <v>0</v>
      </c>
      <c r="Z16" s="1">
        <f>COUNTIF(Groupstage_Winners,"Slovenia")</f>
        <v>0</v>
      </c>
      <c r="AA16" s="1">
        <f>COUNTIF(Groupstage_Losers,"Slovenia")</f>
        <v>0</v>
      </c>
      <c r="AB16" s="1">
        <f>Y16-(Z16+AA16)</f>
        <v>0</v>
      </c>
      <c r="AC16" s="1">
        <f>SUM(Slovenia_Played)</f>
        <v>0</v>
      </c>
      <c r="AD16" s="1">
        <f>SUM(Slovenia_Against)</f>
        <v>0</v>
      </c>
      <c r="AE16" s="1">
        <f>AC16-AD16</f>
        <v>0</v>
      </c>
      <c r="AF16" s="1">
        <f>Z16*Winpoints+AB16*Drawpoints</f>
        <v>0</v>
      </c>
      <c r="AG16" s="1" t="str">
        <f>IF($AF16&lt;=$AF15,$X16,$X15)</f>
        <v>Slovenia</v>
      </c>
      <c r="AH16" s="1">
        <f>VLOOKUP($AG16,$X15:$AF18,9,FALSE)</f>
        <v>0</v>
      </c>
      <c r="AI16" s="1" t="str">
        <f>IF(AH16&gt;=AH18,AG16,AG18)</f>
        <v>Slovenia</v>
      </c>
      <c r="AJ16" s="1">
        <f>VLOOKUP($AI16,$X15:$AF18,9,FALSE)</f>
        <v>0</v>
      </c>
      <c r="AK16" s="1" t="str">
        <f>IF($AJ16&gt;=$AJ17,$AI16,$AI17)</f>
        <v>Slovenia</v>
      </c>
      <c r="AL16" s="1">
        <f>VLOOKUP($AK16,$X15:$AF18,9,FALSE)</f>
        <v>0</v>
      </c>
      <c r="AM16" s="1">
        <f>VLOOKUP($AK16,$X15:$AF18,8,FALSE)</f>
        <v>0</v>
      </c>
      <c r="AN16" s="1" t="str">
        <f>IF(AND($AL15=$AL16,$AM16&gt;$AM15),$AK15,$AK16)</f>
        <v>Slovenia</v>
      </c>
      <c r="AO16" s="1">
        <f>VLOOKUP($AN16,$X15:$AF18,9,FALSE)</f>
        <v>0</v>
      </c>
      <c r="AP16" s="1">
        <f>VLOOKUP($AN16,$X15:$AF18,8,FALSE)</f>
        <v>0</v>
      </c>
      <c r="AQ16" s="1" t="str">
        <f>IF(AND($AO16=$AO18,$AP18&gt;$AP16),$AN18,$AN16)</f>
        <v>Slovenia</v>
      </c>
      <c r="AR16" s="1">
        <f>VLOOKUP($AQ16,$X15:$AF18,9,FALSE)</f>
        <v>0</v>
      </c>
      <c r="AS16" s="1">
        <f>VLOOKUP($AQ16,$X15:$AF18,8,FALSE)</f>
        <v>0</v>
      </c>
      <c r="AT16" s="1" t="str">
        <f>IF(AND($AR16=$AR17,$AS17&gt;$AS16),$AQ17,$AQ16)</f>
        <v>Slovenia</v>
      </c>
      <c r="AU16" s="1">
        <f>VLOOKUP($AT16,$X15:$AF18,9,FALSE)</f>
        <v>0</v>
      </c>
      <c r="AV16" s="1">
        <f>VLOOKUP($AT16,$X15:$AF18,8,FALSE)</f>
        <v>0</v>
      </c>
      <c r="AW16" s="1">
        <f>VLOOKUP($AT16,$X15:$AF18,6,FALSE)</f>
        <v>0</v>
      </c>
      <c r="AX16" s="1" t="str">
        <f>IF(AND($AU15=$AU16,$AV15=$AV16,$AW16&gt;$AW15),$AT15,$AT16)</f>
        <v>Slovenia</v>
      </c>
      <c r="AY16" s="1">
        <f>VLOOKUP($AX16,$X15:$AF18,9,FALSE)</f>
        <v>0</v>
      </c>
      <c r="AZ16" s="1">
        <f>VLOOKUP($AX16,$X15:$AF18,8,FALSE)</f>
        <v>0</v>
      </c>
      <c r="BA16" s="1">
        <f>VLOOKUP($AX16,$X15:$AF18,6,FALSE)</f>
        <v>0</v>
      </c>
      <c r="BB16" s="1" t="str">
        <f>IF(AND($AY16=$AY18,$AZ16=$AZ18,$BA18&gt;$BA16),$AX18,$AX16)</f>
        <v>Slovenia</v>
      </c>
      <c r="BC16" s="1">
        <f>VLOOKUP($BB16,$X15:$AF18,9,FALSE)</f>
        <v>0</v>
      </c>
      <c r="BD16" s="1">
        <f>VLOOKUP($BB16,$X15:$AF18,8,FALSE)</f>
        <v>0</v>
      </c>
      <c r="BE16" s="1">
        <f>VLOOKUP($BB16,$X15:$AF18,6,FALSE)</f>
        <v>0</v>
      </c>
      <c r="BF16" s="1" t="str">
        <f>IF(AND($BC16=$BC17,$BD16=$BD17,$BE17&gt;$BE16),$BB17,$BB16)</f>
        <v>Slovenia</v>
      </c>
      <c r="BG16" s="1">
        <f>VLOOKUP($BF16,$X15:$AF18,9,FALSE)</f>
        <v>0</v>
      </c>
      <c r="BH16" s="1">
        <f>VLOOKUP($BF16,$X15:$AF18,8,FALSE)</f>
        <v>0</v>
      </c>
      <c r="BI16" s="1">
        <f>VLOOKUP($BF16,$X15:$AF18,6,FALSE)</f>
        <v>0</v>
      </c>
      <c r="BM16" s="1" t="str">
        <f>BF16</f>
        <v>Slovenia</v>
      </c>
      <c r="BN16" s="1">
        <f>VLOOKUP($BM16,$X15:$AF18,2,FALSE)</f>
        <v>0</v>
      </c>
      <c r="BO16" s="1">
        <f>VLOOKUP($BM16,$X15:$AF18,3,FALSE)</f>
        <v>0</v>
      </c>
      <c r="BP16" s="1">
        <f>VLOOKUP($BM16,$X15:$AF18,4,FALSE)</f>
        <v>0</v>
      </c>
      <c r="BQ16" s="1">
        <f>VLOOKUP($BM16,$X15:$AF18,5,FALSE)</f>
        <v>0</v>
      </c>
      <c r="BR16" s="1">
        <f>VLOOKUP($BM16,$X15:$AF18,6,FALSE)</f>
        <v>0</v>
      </c>
      <c r="BS16" s="1">
        <f>VLOOKUP($BM16,$X15:$AF18,7,FALSE)</f>
        <v>0</v>
      </c>
      <c r="BT16" s="1">
        <f>VLOOKUP($BM16,$X15:$AF18,8,FALSE)</f>
        <v>0</v>
      </c>
      <c r="BU16" s="1">
        <f>VLOOKUP($BM16,$X15:$AF18,9,FALSE)</f>
        <v>0</v>
      </c>
    </row>
    <row r="17" spans="2:73" ht="12.75" thickBot="1">
      <c r="B17" s="10">
        <v>37773</v>
      </c>
      <c r="C17" s="11">
        <v>0.8541666666666666</v>
      </c>
      <c r="D17" s="11">
        <f t="shared" si="3"/>
        <v>0.5208333333333333</v>
      </c>
      <c r="E17" s="28" t="s">
        <v>96</v>
      </c>
      <c r="F17" s="13"/>
      <c r="G17" s="14"/>
      <c r="H17" s="12" t="s">
        <v>97</v>
      </c>
      <c r="I17" s="15" t="s">
        <v>47</v>
      </c>
      <c r="J17" s="16" t="s">
        <v>53</v>
      </c>
      <c r="K17" s="1">
        <f t="shared" si="1"/>
      </c>
      <c r="L17" s="1">
        <f t="shared" si="2"/>
      </c>
      <c r="X17" s="1" t="s">
        <v>79</v>
      </c>
      <c r="Y17" s="1">
        <f>COUNT(Paraguay_Played)</f>
        <v>0</v>
      </c>
      <c r="Z17" s="1">
        <f>COUNTIF(Groupstage_Winners,"Paraguay")</f>
        <v>0</v>
      </c>
      <c r="AA17" s="1">
        <f>COUNTIF(Groupstage_Losers,"Paraguay")</f>
        <v>0</v>
      </c>
      <c r="AB17" s="1">
        <f>Y17-(Z17+AA17)</f>
        <v>0</v>
      </c>
      <c r="AC17" s="1">
        <f>SUM(Paraguay_Played)</f>
        <v>0</v>
      </c>
      <c r="AD17" s="1">
        <f>SUM(Paraguay_Against)</f>
        <v>0</v>
      </c>
      <c r="AE17" s="1">
        <f>AC17-AD17</f>
        <v>0</v>
      </c>
      <c r="AF17" s="1">
        <f>Z17*Winpoints+AB17*Drawpoints</f>
        <v>0</v>
      </c>
      <c r="AG17" s="1" t="str">
        <f>IF($AF17&gt;=$AF18,$X17,$X18)</f>
        <v>Paraguay</v>
      </c>
      <c r="AH17" s="1">
        <f>VLOOKUP($AG17,$X15:$AF18,9,FALSE)</f>
        <v>0</v>
      </c>
      <c r="AI17" s="1" t="str">
        <f>IF($AH17&lt;=$AH15,$AG17,$AG15)</f>
        <v>Paraguay</v>
      </c>
      <c r="AJ17" s="1">
        <f>VLOOKUP($AI17,$X15:$AF18,9,FALSE)</f>
        <v>0</v>
      </c>
      <c r="AK17" s="1" t="str">
        <f>IF($AJ17&lt;=$AJ16,$AI17,$AI16)</f>
        <v>Paraguay</v>
      </c>
      <c r="AL17" s="1">
        <f>VLOOKUP($AK17,$X15:$AF18,9,FALSE)</f>
        <v>0</v>
      </c>
      <c r="AM17" s="1">
        <f>VLOOKUP($AK17,$X15:$AF18,8,FALSE)</f>
        <v>0</v>
      </c>
      <c r="AN17" s="1" t="str">
        <f>IF(AND($AL17=$AL18,$AM18&gt;$AM17),$AK18,$AK17)</f>
        <v>Paraguay</v>
      </c>
      <c r="AO17" s="1">
        <f>VLOOKUP($AN17,$X15:$AF18,9,FALSE)</f>
        <v>0</v>
      </c>
      <c r="AP17" s="1">
        <f>VLOOKUP($AN17,$X15:$AF18,8,FALSE)</f>
        <v>0</v>
      </c>
      <c r="AQ17" s="1" t="str">
        <f>IF(AND($AO15=$AO17,$AP17&gt;$AP15),$AN15,$AN17)</f>
        <v>Paraguay</v>
      </c>
      <c r="AR17" s="1">
        <f>VLOOKUP($AQ17,$X15:$AF18,9,FALSE)</f>
        <v>0</v>
      </c>
      <c r="AS17" s="1">
        <f>VLOOKUP($AQ17,$X15:$AF18,8,FALSE)</f>
        <v>0</v>
      </c>
      <c r="AT17" s="1" t="str">
        <f>IF(AND($AR16=$AR17,$AS17&gt;$AS16),$AQ16,$AQ17)</f>
        <v>Paraguay</v>
      </c>
      <c r="AU17" s="1">
        <f>VLOOKUP($AT17,$X15:$AF18,9,FALSE)</f>
        <v>0</v>
      </c>
      <c r="AV17" s="1">
        <f>VLOOKUP($AT17,$X15:$AF18,8,FALSE)</f>
        <v>0</v>
      </c>
      <c r="AW17" s="1">
        <f>VLOOKUP($AT17,$X15:$AF18,6,FALSE)</f>
        <v>0</v>
      </c>
      <c r="AX17" s="1" t="str">
        <f>IF(AND($AU17=$AU18,$AV17=$AV18,$AW18&gt;$AW17),$AT18,$AT17)</f>
        <v>Paraguay</v>
      </c>
      <c r="AY17" s="1">
        <f>VLOOKUP($AX17,$X15:$AF18,9,FALSE)</f>
        <v>0</v>
      </c>
      <c r="AZ17" s="1">
        <f>VLOOKUP($AX17,$X15:$AF18,8,FALSE)</f>
        <v>0</v>
      </c>
      <c r="BA17" s="1">
        <f>VLOOKUP($AX17,$X15:$AF18,6,FALSE)</f>
        <v>0</v>
      </c>
      <c r="BB17" s="1" t="str">
        <f>IF(AND($AY15=$AY17,$AZ15=$AZ17,$BA16&gt;$BA15),$AX15,$AX17)</f>
        <v>Paraguay</v>
      </c>
      <c r="BC17" s="1">
        <f>VLOOKUP($BB17,$X15:$AF18,9,FALSE)</f>
        <v>0</v>
      </c>
      <c r="BD17" s="1">
        <f>VLOOKUP($BB17,$X15:$AF18,8,FALSE)</f>
        <v>0</v>
      </c>
      <c r="BE17" s="1">
        <f>VLOOKUP($BB17,$X15:$AF18,6,FALSE)</f>
        <v>0</v>
      </c>
      <c r="BF17" s="1" t="str">
        <f>IF(AND($BC16=$BC17,$BD16=$BD17,$BE17&gt;$BE16),$BB16,$BB17)</f>
        <v>Paraguay</v>
      </c>
      <c r="BG17" s="1">
        <f>VLOOKUP($BF17,$X15:$AF18,9,FALSE)</f>
        <v>0</v>
      </c>
      <c r="BH17" s="1">
        <f>VLOOKUP($BF17,$X15:$AF18,8,FALSE)</f>
        <v>0</v>
      </c>
      <c r="BI17" s="1">
        <f>VLOOKUP($BF17,$X15:$AF18,6,FALSE)</f>
        <v>0</v>
      </c>
      <c r="BM17" s="1" t="str">
        <f>BF17</f>
        <v>Paraguay</v>
      </c>
      <c r="BN17" s="1">
        <f>VLOOKUP($BM17,$X15:$AF18,2,FALSE)</f>
        <v>0</v>
      </c>
      <c r="BO17" s="1">
        <f>VLOOKUP($BM17,$X15:$AF18,3,FALSE)</f>
        <v>0</v>
      </c>
      <c r="BP17" s="1">
        <f>VLOOKUP($BM17,$X15:$AF18,4,FALSE)</f>
        <v>0</v>
      </c>
      <c r="BQ17" s="1">
        <f>VLOOKUP($BM17,$X15:$AF18,5,FALSE)</f>
        <v>0</v>
      </c>
      <c r="BR17" s="1">
        <f>VLOOKUP($BM17,$X15:$AF18,6,FALSE)</f>
        <v>0</v>
      </c>
      <c r="BS17" s="1">
        <f>VLOOKUP($BM17,$X15:$AF18,7,FALSE)</f>
        <v>0</v>
      </c>
      <c r="BT17" s="1">
        <f>VLOOKUP($BM17,$X15:$AF18,8,FALSE)</f>
        <v>0</v>
      </c>
      <c r="BU17" s="1">
        <f>VLOOKUP($BM17,$X15:$AF18,9,FALSE)</f>
        <v>0</v>
      </c>
    </row>
    <row r="18" spans="2:73" ht="16.5" thickBot="1">
      <c r="B18" s="10">
        <v>38139</v>
      </c>
      <c r="C18" s="11">
        <v>0.6458333333333334</v>
      </c>
      <c r="D18" s="11">
        <f t="shared" si="3"/>
        <v>0.31250000000000006</v>
      </c>
      <c r="E18" s="28" t="s">
        <v>83</v>
      </c>
      <c r="F18" s="13"/>
      <c r="G18" s="14"/>
      <c r="H18" s="12" t="s">
        <v>84</v>
      </c>
      <c r="I18" s="15" t="s">
        <v>51</v>
      </c>
      <c r="J18" s="16" t="s">
        <v>32</v>
      </c>
      <c r="K18" s="1">
        <f t="shared" si="1"/>
      </c>
      <c r="L18" s="1">
        <f t="shared" si="2"/>
      </c>
      <c r="N18" s="2" t="s">
        <v>33</v>
      </c>
      <c r="O18" s="3"/>
      <c r="P18" s="3"/>
      <c r="Q18" s="3"/>
      <c r="R18" s="3"/>
      <c r="S18" s="3"/>
      <c r="T18" s="3"/>
      <c r="U18" s="3"/>
      <c r="V18" s="4"/>
      <c r="X18" s="1" t="s">
        <v>80</v>
      </c>
      <c r="Y18" s="1">
        <f>COUNT(South_Africa_Played)</f>
        <v>0</v>
      </c>
      <c r="Z18" s="1">
        <f>COUNTIF(Groupstage_Winners,"South Africa")</f>
        <v>0</v>
      </c>
      <c r="AA18" s="1">
        <f>COUNTIF(Groupstage_Losers,"South Africa")</f>
        <v>0</v>
      </c>
      <c r="AB18" s="1">
        <f>Y18-(Z18+AA18)</f>
        <v>0</v>
      </c>
      <c r="AC18" s="1">
        <f>SUM(South_Africa_Played)</f>
        <v>0</v>
      </c>
      <c r="AD18" s="1">
        <f>SUM(South_Africa_Against)</f>
        <v>0</v>
      </c>
      <c r="AE18" s="1">
        <f>AC18-AD18</f>
        <v>0</v>
      </c>
      <c r="AF18" s="1">
        <f>Z18*Winpoints+AB18*Drawpoints</f>
        <v>0</v>
      </c>
      <c r="AG18" s="1" t="str">
        <f>IF($AF18&lt;=$AF17,$X18,$X17)</f>
        <v>South Africa</v>
      </c>
      <c r="AH18" s="1">
        <f>VLOOKUP($AG18,$X15:$AF18,9,FALSE)</f>
        <v>0</v>
      </c>
      <c r="AI18" s="1" t="str">
        <f>IF(AH18&lt;=AH16,AG18,AG16)</f>
        <v>South Africa</v>
      </c>
      <c r="AJ18" s="1">
        <f>VLOOKUP($AI18,$X15:$AF18,9,FALSE)</f>
        <v>0</v>
      </c>
      <c r="AK18" s="1" t="str">
        <f>IF($AJ18&lt;=$AJ15,$AI18,$AI15)</f>
        <v>South Africa</v>
      </c>
      <c r="AL18" s="1">
        <f>VLOOKUP($AK18,$X15:$AF18,9,FALSE)</f>
        <v>0</v>
      </c>
      <c r="AM18" s="1">
        <f>VLOOKUP($AK18,$X15:$AF18,8,FALSE)</f>
        <v>0</v>
      </c>
      <c r="AN18" s="1" t="str">
        <f>IF(AND($AL17=$AL18,$AM18&gt;$AM17),$AK17,$AK18)</f>
        <v>South Africa</v>
      </c>
      <c r="AO18" s="1">
        <f>VLOOKUP($AN18,$X15:$AF18,9,FALSE)</f>
        <v>0</v>
      </c>
      <c r="AP18" s="1">
        <f>VLOOKUP($AN18,$X15:$AF18,8,FALSE)</f>
        <v>0</v>
      </c>
      <c r="AQ18" s="1" t="str">
        <f>IF(AND($AO16=$AO18,$AP18&gt;$AP16),$AN16,$AN18)</f>
        <v>South Africa</v>
      </c>
      <c r="AR18" s="1">
        <f>VLOOKUP($AQ18,$X15:$AF18,9,FALSE)</f>
        <v>0</v>
      </c>
      <c r="AS18" s="1">
        <f>VLOOKUP($AQ18,$X15:$AF18,8,FALSE)</f>
        <v>0</v>
      </c>
      <c r="AT18" s="1" t="str">
        <f>IF(AND($AR15=$AR18,$AS18&gt;$AS15),$AQ15,$AQ18)</f>
        <v>South Africa</v>
      </c>
      <c r="AU18" s="1">
        <f>VLOOKUP($AT18,$X15:$AF18,9,FALSE)</f>
        <v>0</v>
      </c>
      <c r="AV18" s="1">
        <f>VLOOKUP($AT18,$X15:$AF18,8,FALSE)</f>
        <v>0</v>
      </c>
      <c r="AW18" s="1">
        <f>VLOOKUP($AT18,$X15:$AF18,6,FALSE)</f>
        <v>0</v>
      </c>
      <c r="AX18" s="1" t="str">
        <f>IF(AND($AU17=$AU18,$AV17=$AV18,$AW18&gt;$AW17),$AT17,$AT18)</f>
        <v>South Africa</v>
      </c>
      <c r="AY18" s="1">
        <f>VLOOKUP($AX18,$X15:$AF18,9,FALSE)</f>
        <v>0</v>
      </c>
      <c r="AZ18" s="1">
        <f>VLOOKUP($AX18,$X15:$AF18,8,FALSE)</f>
        <v>0</v>
      </c>
      <c r="BA18" s="1">
        <f>VLOOKUP($AX18,$X15:$AF18,6,FALSE)</f>
        <v>0</v>
      </c>
      <c r="BB18" s="1" t="str">
        <f>IF(AND($AY16=$AY18,$AZ16=$AZ18,$BA18&gt;$BA16),$AX16,$AX18)</f>
        <v>South Africa</v>
      </c>
      <c r="BC18" s="1">
        <f>VLOOKUP($BB18,$X15:$AF18,9,FALSE)</f>
        <v>0</v>
      </c>
      <c r="BD18" s="1">
        <f>VLOOKUP($BB18,$X15:$AF18,8,FALSE)</f>
        <v>0</v>
      </c>
      <c r="BE18" s="1">
        <f>VLOOKUP($BB18,$X15:$AF18,6,FALSE)</f>
        <v>0</v>
      </c>
      <c r="BF18" s="1" t="str">
        <f>IF(AND($BC15=$BC18,$BD15=$BD18,$BE18&gt;$BE15),$BB15,$BB18)</f>
        <v>South Africa</v>
      </c>
      <c r="BG18" s="1">
        <f>VLOOKUP($BF18,$X15:$AF18,9,FALSE)</f>
        <v>0</v>
      </c>
      <c r="BH18" s="1">
        <f>VLOOKUP($BF18,$X15:$AF18,8,FALSE)</f>
        <v>0</v>
      </c>
      <c r="BI18" s="1">
        <f>VLOOKUP($BF18,$X15:$AF18,6,FALSE)</f>
        <v>0</v>
      </c>
      <c r="BM18" s="1" t="str">
        <f>BF18</f>
        <v>South Africa</v>
      </c>
      <c r="BN18" s="1">
        <f>VLOOKUP($BM18,$X15:$AF18,2,FALSE)</f>
        <v>0</v>
      </c>
      <c r="BO18" s="1">
        <f>VLOOKUP($BM18,$X15:$AF18,3,FALSE)</f>
        <v>0</v>
      </c>
      <c r="BP18" s="1">
        <f>VLOOKUP($BM18,$X15:$AF18,4,FALSE)</f>
        <v>0</v>
      </c>
      <c r="BQ18" s="1">
        <f>VLOOKUP($BM18,$X15:$AF18,5,FALSE)</f>
        <v>0</v>
      </c>
      <c r="BR18" s="1">
        <f>VLOOKUP($BM18,$X15:$AF18,6,FALSE)</f>
        <v>0</v>
      </c>
      <c r="BS18" s="1">
        <f>VLOOKUP($BM18,$X15:$AF18,7,FALSE)</f>
        <v>0</v>
      </c>
      <c r="BT18" s="1">
        <f>VLOOKUP($BM18,$X15:$AF18,8,FALSE)</f>
        <v>0</v>
      </c>
      <c r="BU18" s="1">
        <f>VLOOKUP($BM18,$X15:$AF18,9,FALSE)</f>
        <v>0</v>
      </c>
    </row>
    <row r="19" spans="2:22" ht="12.75" thickBot="1">
      <c r="B19" s="10">
        <v>38139</v>
      </c>
      <c r="C19" s="11">
        <v>0.75</v>
      </c>
      <c r="D19" s="11">
        <f t="shared" si="3"/>
        <v>0.4166666666666667</v>
      </c>
      <c r="E19" s="28" t="s">
        <v>55</v>
      </c>
      <c r="F19" s="13"/>
      <c r="G19" s="14"/>
      <c r="H19" s="12" t="s">
        <v>100</v>
      </c>
      <c r="I19" s="15" t="s">
        <v>48</v>
      </c>
      <c r="J19" s="16" t="s">
        <v>54</v>
      </c>
      <c r="K19" s="1">
        <f t="shared" si="1"/>
      </c>
      <c r="L19" s="1">
        <f t="shared" si="2"/>
      </c>
      <c r="N19" s="7"/>
      <c r="O19" s="8" t="s">
        <v>18</v>
      </c>
      <c r="P19" s="8" t="s">
        <v>19</v>
      </c>
      <c r="Q19" s="8" t="s">
        <v>20</v>
      </c>
      <c r="R19" s="8" t="s">
        <v>21</v>
      </c>
      <c r="S19" s="8" t="s">
        <v>22</v>
      </c>
      <c r="T19" s="8" t="s">
        <v>23</v>
      </c>
      <c r="U19" s="8" t="s">
        <v>24</v>
      </c>
      <c r="V19" s="9" t="s">
        <v>25</v>
      </c>
    </row>
    <row r="20" spans="2:24" ht="12.75" thickBot="1">
      <c r="B20" s="10">
        <v>38139</v>
      </c>
      <c r="C20" s="11">
        <v>0.8541666666666666</v>
      </c>
      <c r="D20" s="11">
        <f t="shared" si="3"/>
        <v>0.5208333333333333</v>
      </c>
      <c r="E20" s="28" t="s">
        <v>52</v>
      </c>
      <c r="F20" s="13"/>
      <c r="G20" s="14"/>
      <c r="H20" s="12" t="s">
        <v>85</v>
      </c>
      <c r="I20" s="15" t="s">
        <v>49</v>
      </c>
      <c r="J20" s="16" t="s">
        <v>21</v>
      </c>
      <c r="K20" s="1">
        <f t="shared" si="1"/>
      </c>
      <c r="L20" s="1">
        <f t="shared" si="2"/>
      </c>
      <c r="N20" s="17" t="str">
        <f aca="true" t="shared" si="5" ref="N20:V23">BM22</f>
        <v>Brazil</v>
      </c>
      <c r="O20" s="18">
        <f t="shared" si="5"/>
        <v>0</v>
      </c>
      <c r="P20" s="18">
        <f t="shared" si="5"/>
        <v>0</v>
      </c>
      <c r="Q20" s="18">
        <f t="shared" si="5"/>
        <v>0</v>
      </c>
      <c r="R20" s="18">
        <f t="shared" si="5"/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9">
        <f t="shared" si="5"/>
        <v>0</v>
      </c>
      <c r="X20" s="1" t="s">
        <v>33</v>
      </c>
    </row>
    <row r="21" spans="2:32" ht="12.75" thickBot="1">
      <c r="B21" s="10">
        <v>38504</v>
      </c>
      <c r="C21" s="11">
        <v>0.6458333333333334</v>
      </c>
      <c r="D21" s="11">
        <f t="shared" si="3"/>
        <v>0.31250000000000006</v>
      </c>
      <c r="E21" s="28" t="s">
        <v>101</v>
      </c>
      <c r="F21" s="13"/>
      <c r="G21" s="14"/>
      <c r="H21" s="12" t="s">
        <v>102</v>
      </c>
      <c r="I21" s="15" t="s">
        <v>56</v>
      </c>
      <c r="J21" s="16" t="s">
        <v>54</v>
      </c>
      <c r="K21" s="1">
        <f t="shared" si="1"/>
      </c>
      <c r="L21" s="1">
        <f t="shared" si="2"/>
      </c>
      <c r="N21" s="17" t="str">
        <f t="shared" si="5"/>
        <v>Turkey</v>
      </c>
      <c r="O21" s="18">
        <f t="shared" si="5"/>
        <v>0</v>
      </c>
      <c r="P21" s="18">
        <f t="shared" si="5"/>
        <v>0</v>
      </c>
      <c r="Q21" s="18">
        <f t="shared" si="5"/>
        <v>0</v>
      </c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9">
        <f t="shared" si="5"/>
        <v>0</v>
      </c>
      <c r="Y21" s="1" t="s">
        <v>27</v>
      </c>
      <c r="Z21" s="1" t="s">
        <v>19</v>
      </c>
      <c r="AA21" s="1" t="s">
        <v>20</v>
      </c>
      <c r="AB21" s="1" t="s">
        <v>21</v>
      </c>
      <c r="AC21" s="1" t="s">
        <v>22</v>
      </c>
      <c r="AD21" s="1" t="s">
        <v>23</v>
      </c>
      <c r="AE21" s="1" t="s">
        <v>24</v>
      </c>
      <c r="AF21" s="1" t="s">
        <v>28</v>
      </c>
    </row>
    <row r="22" spans="2:73" ht="12.75" thickBot="1">
      <c r="B22" s="10">
        <v>38504</v>
      </c>
      <c r="C22" s="11">
        <v>0.75</v>
      </c>
      <c r="D22" s="11">
        <f t="shared" si="3"/>
        <v>0.4166666666666667</v>
      </c>
      <c r="E22" s="28" t="s">
        <v>86</v>
      </c>
      <c r="F22" s="13"/>
      <c r="G22" s="14"/>
      <c r="H22" s="12" t="s">
        <v>87</v>
      </c>
      <c r="I22" s="15" t="s">
        <v>57</v>
      </c>
      <c r="J22" s="16" t="s">
        <v>21</v>
      </c>
      <c r="K22" s="1">
        <f t="shared" si="1"/>
      </c>
      <c r="L22" s="1">
        <f t="shared" si="2"/>
      </c>
      <c r="N22" s="17" t="str">
        <f t="shared" si="5"/>
        <v>China</v>
      </c>
      <c r="O22" s="18">
        <f t="shared" si="5"/>
        <v>0</v>
      </c>
      <c r="P22" s="18">
        <f t="shared" si="5"/>
        <v>0</v>
      </c>
      <c r="Q22" s="18">
        <f t="shared" si="5"/>
        <v>0</v>
      </c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9">
        <f t="shared" si="5"/>
        <v>0</v>
      </c>
      <c r="X22" s="1" t="s">
        <v>81</v>
      </c>
      <c r="Y22" s="1">
        <f>COUNT(Brazil_Played)</f>
        <v>0</v>
      </c>
      <c r="Z22" s="1">
        <f>COUNTIF(Groupstage_Winners,"Brazil")</f>
        <v>0</v>
      </c>
      <c r="AA22" s="1">
        <f>COUNTIF(Groupstage_Losers,"Brazil")</f>
        <v>0</v>
      </c>
      <c r="AB22" s="1">
        <f>Y22-(Z22+AA22)</f>
        <v>0</v>
      </c>
      <c r="AC22" s="1">
        <f>SUM(Brazil_Played)</f>
        <v>0</v>
      </c>
      <c r="AD22" s="1">
        <f>SUM(Brazil_Against)</f>
        <v>0</v>
      </c>
      <c r="AE22" s="1">
        <f>AC22-AD22</f>
        <v>0</v>
      </c>
      <c r="AF22" s="1">
        <f>Z22*Winpoints+AB22*Drawpoints</f>
        <v>0</v>
      </c>
      <c r="AG22" s="1" t="str">
        <f>IF($AF22&gt;=$AF23,$X22,$X23)</f>
        <v>Brazil</v>
      </c>
      <c r="AH22" s="1">
        <f>VLOOKUP($AG22,$X22:$AF25,9,FALSE)</f>
        <v>0</v>
      </c>
      <c r="AI22" s="1" t="str">
        <f>IF($AH22&gt;=$AH24,$AG22,$AG24)</f>
        <v>Brazil</v>
      </c>
      <c r="AJ22" s="1">
        <f>VLOOKUP($AI22,$X22:$AF25,9,FALSE)</f>
        <v>0</v>
      </c>
      <c r="AK22" s="1" t="str">
        <f>IF($AJ22&gt;=$AJ25,$AI22,$AI25)</f>
        <v>Brazil</v>
      </c>
      <c r="AL22" s="1">
        <f>VLOOKUP($AK22,$X22:$AF25,9,FALSE)</f>
        <v>0</v>
      </c>
      <c r="AM22" s="1">
        <f>VLOOKUP($AK22,$X22:$AF25,8,FALSE)</f>
        <v>0</v>
      </c>
      <c r="AN22" s="1" t="str">
        <f>IF(AND($AL22=$AL23,$AM23&gt;$AM22),$AK23,$AK22)</f>
        <v>Brazil</v>
      </c>
      <c r="AO22" s="1">
        <f>VLOOKUP($AN22,$X22:$AF25,9,FALSE)</f>
        <v>0</v>
      </c>
      <c r="AP22" s="1">
        <f>VLOOKUP($AN22,$X22:$AF25,8,FALSE)</f>
        <v>0</v>
      </c>
      <c r="AQ22" s="1" t="str">
        <f>IF(AND($AO22=$AO24,$AP24&gt;$AP22),$AN24,$AN22)</f>
        <v>Brazil</v>
      </c>
      <c r="AR22" s="1">
        <f>VLOOKUP($AQ22,$X22:$AF25,9,FALSE)</f>
        <v>0</v>
      </c>
      <c r="AS22" s="1">
        <f>VLOOKUP($AQ22,$X22:$AF25,8,FALSE)</f>
        <v>0</v>
      </c>
      <c r="AT22" s="1" t="str">
        <f>IF(AND($AR22=$AR25,$AS25&gt;$AS22),$AQ25,$AQ22)</f>
        <v>Brazil</v>
      </c>
      <c r="AU22" s="1">
        <f>VLOOKUP($AT22,$X22:$AF25,9,FALSE)</f>
        <v>0</v>
      </c>
      <c r="AV22" s="1">
        <f>VLOOKUP($AT22,$X22:$AF25,8,FALSE)</f>
        <v>0</v>
      </c>
      <c r="AW22" s="1">
        <f>VLOOKUP($AT22,$X22:$AF25,6,FALSE)</f>
        <v>0</v>
      </c>
      <c r="AX22" s="1" t="str">
        <f>IF(AND($AU22=$AU23,$AV22=$AV23,$AW23&gt;$AW22),$AT23,$AT22)</f>
        <v>Brazil</v>
      </c>
      <c r="AY22" s="1">
        <f>VLOOKUP($AX22,$X22:$AF25,9,FALSE)</f>
        <v>0</v>
      </c>
      <c r="AZ22" s="1">
        <f>VLOOKUP($AX22,$X22:$AF25,8,FALSE)</f>
        <v>0</v>
      </c>
      <c r="BA22" s="1">
        <f>VLOOKUP($AX22,$X22:$AF25,6,FALSE)</f>
        <v>0</v>
      </c>
      <c r="BB22" s="1" t="str">
        <f>IF(AND($AY22=$AY24,$AZ22=$AZ24,$BA24&gt;$BA22),$AX24,$AX22)</f>
        <v>Brazil</v>
      </c>
      <c r="BC22" s="1">
        <f>VLOOKUP($BB22,$X22:$AF25,9,FALSE)</f>
        <v>0</v>
      </c>
      <c r="BD22" s="1">
        <f>VLOOKUP($BB22,$X22:$AF25,8,FALSE)</f>
        <v>0</v>
      </c>
      <c r="BE22" s="1">
        <f>VLOOKUP($BB22,$X22:$AF25,6,FALSE)</f>
        <v>0</v>
      </c>
      <c r="BF22" s="1" t="str">
        <f>IF(AND($BC22=$BC25,$BD22=$BD25,$BE25&gt;$BE22),$BB25,$BB22)</f>
        <v>Brazil</v>
      </c>
      <c r="BG22" s="1">
        <f>VLOOKUP($BF22,$X22:$AF25,9,FALSE)</f>
        <v>0</v>
      </c>
      <c r="BH22" s="1">
        <f>VLOOKUP($BF22,$X22:$AF25,8,FALSE)</f>
        <v>0</v>
      </c>
      <c r="BI22" s="1">
        <f>VLOOKUP($BF22,$X22:$AF25,6,FALSE)</f>
        <v>0</v>
      </c>
      <c r="BM22" s="1" t="str">
        <f>BF22</f>
        <v>Brazil</v>
      </c>
      <c r="BN22" s="1">
        <f>VLOOKUP($BM22,$X22:$AF25,2,FALSE)</f>
        <v>0</v>
      </c>
      <c r="BO22" s="1">
        <f>VLOOKUP($BM22,$X22:$AF25,3,FALSE)</f>
        <v>0</v>
      </c>
      <c r="BP22" s="1">
        <f>VLOOKUP($BM22,$X22:$AF25,4,FALSE)</f>
        <v>0</v>
      </c>
      <c r="BQ22" s="1">
        <f>VLOOKUP($BM22,$X22:$AF25,5,FALSE)</f>
        <v>0</v>
      </c>
      <c r="BR22" s="1">
        <f>VLOOKUP($BM22,$X22:$AF25,6,FALSE)</f>
        <v>0</v>
      </c>
      <c r="BS22" s="1">
        <f>VLOOKUP($BM22,$X22:$AF25,7,FALSE)</f>
        <v>0</v>
      </c>
      <c r="BT22" s="1">
        <f>VLOOKUP($BM22,$X22:$AF25,8,FALSE)</f>
        <v>0</v>
      </c>
      <c r="BU22" s="1">
        <f>VLOOKUP($BM22,$X22:$AF25,9,FALSE)</f>
        <v>0</v>
      </c>
    </row>
    <row r="23" spans="2:73" ht="12.75" thickBot="1">
      <c r="B23" s="10">
        <v>38504</v>
      </c>
      <c r="C23" s="11">
        <v>0.8541666666666666</v>
      </c>
      <c r="D23" s="11">
        <f t="shared" si="3"/>
        <v>0.5208333333333333</v>
      </c>
      <c r="E23" s="28" t="s">
        <v>88</v>
      </c>
      <c r="F23" s="13"/>
      <c r="G23" s="14"/>
      <c r="H23" s="12" t="s">
        <v>90</v>
      </c>
      <c r="I23" s="15" t="s">
        <v>50</v>
      </c>
      <c r="J23" s="16" t="s">
        <v>46</v>
      </c>
      <c r="K23" s="1">
        <f t="shared" si="1"/>
      </c>
      <c r="L23" s="1">
        <f t="shared" si="2"/>
      </c>
      <c r="N23" s="20" t="str">
        <f t="shared" si="5"/>
        <v>Costa Rica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0</v>
      </c>
      <c r="U23" s="21">
        <f t="shared" si="5"/>
        <v>0</v>
      </c>
      <c r="V23" s="22">
        <f t="shared" si="5"/>
        <v>0</v>
      </c>
      <c r="X23" s="1" t="s">
        <v>82</v>
      </c>
      <c r="Y23" s="1">
        <f>COUNT(Turkey_Played)</f>
        <v>0</v>
      </c>
      <c r="Z23" s="1">
        <f>COUNTIF(Groupstage_Winners,"Turkey")</f>
        <v>0</v>
      </c>
      <c r="AA23" s="1">
        <f>COUNTIF(Groupstage_Losers,"Turkey")</f>
        <v>0</v>
      </c>
      <c r="AB23" s="1">
        <f>Y23-(Z23+AA23)</f>
        <v>0</v>
      </c>
      <c r="AC23" s="1">
        <f>SUM(Turkey_Played)</f>
        <v>0</v>
      </c>
      <c r="AD23" s="1">
        <f>SUM(Turkey_Against)</f>
        <v>0</v>
      </c>
      <c r="AE23" s="1">
        <f>AC23-AD23</f>
        <v>0</v>
      </c>
      <c r="AF23" s="1">
        <f>Z23*Winpoints+AB23*Drawpoints</f>
        <v>0</v>
      </c>
      <c r="AG23" s="1" t="str">
        <f>IF($AF23&lt;=$AF22,$X23,$X22)</f>
        <v>Turkey</v>
      </c>
      <c r="AH23" s="1">
        <f>VLOOKUP($AG23,$X22:$AF25,9,FALSE)</f>
        <v>0</v>
      </c>
      <c r="AI23" s="1" t="str">
        <f>IF(AH23&gt;=AH25,AG23,AG25)</f>
        <v>Turkey</v>
      </c>
      <c r="AJ23" s="1">
        <f>VLOOKUP($AI23,$X22:$AF25,9,FALSE)</f>
        <v>0</v>
      </c>
      <c r="AK23" s="1" t="str">
        <f>IF($AJ23&gt;=$AJ24,$AI23,$AI24)</f>
        <v>Turkey</v>
      </c>
      <c r="AL23" s="1">
        <f>VLOOKUP($AK23,$X22:$AF25,9,FALSE)</f>
        <v>0</v>
      </c>
      <c r="AM23" s="1">
        <f>VLOOKUP($AK23,$X22:$AF25,8,FALSE)</f>
        <v>0</v>
      </c>
      <c r="AN23" s="1" t="str">
        <f>IF(AND($AL22=$AL23,$AM23&gt;$AM22),$AK22,$AK23)</f>
        <v>Turkey</v>
      </c>
      <c r="AO23" s="1">
        <f>VLOOKUP($AN23,$X22:$AF25,9,FALSE)</f>
        <v>0</v>
      </c>
      <c r="AP23" s="1">
        <f>VLOOKUP($AN23,$X22:$AF25,8,FALSE)</f>
        <v>0</v>
      </c>
      <c r="AQ23" s="1" t="str">
        <f>IF(AND($AO23=$AO25,$AP25&gt;$AP23),$AN25,$AN23)</f>
        <v>Turkey</v>
      </c>
      <c r="AR23" s="1">
        <f>VLOOKUP($AQ23,$X22:$AF25,9,FALSE)</f>
        <v>0</v>
      </c>
      <c r="AS23" s="1">
        <f>VLOOKUP($AQ23,$X22:$AF25,8,FALSE)</f>
        <v>0</v>
      </c>
      <c r="AT23" s="1" t="str">
        <f>IF(AND($AR23=$AR24,$AS24&gt;$AS23),$AQ24,$AQ23)</f>
        <v>Turkey</v>
      </c>
      <c r="AU23" s="1">
        <f>VLOOKUP($AT23,$X22:$AF25,9,FALSE)</f>
        <v>0</v>
      </c>
      <c r="AV23" s="1">
        <f>VLOOKUP($AT23,$X22:$AF25,8,FALSE)</f>
        <v>0</v>
      </c>
      <c r="AW23" s="1">
        <f>VLOOKUP($AT23,$X22:$AF25,6,FALSE)</f>
        <v>0</v>
      </c>
      <c r="AX23" s="1" t="str">
        <f>IF(AND($AU22=$AU23,$AV22=$AV23,$AW23&gt;$AW22),$AT22,$AT23)</f>
        <v>Turkey</v>
      </c>
      <c r="AY23" s="1">
        <f>VLOOKUP($AX23,$X22:$AF25,9,FALSE)</f>
        <v>0</v>
      </c>
      <c r="AZ23" s="1">
        <f>VLOOKUP($AX23,$X22:$AF25,8,FALSE)</f>
        <v>0</v>
      </c>
      <c r="BA23" s="1">
        <f>VLOOKUP($AX23,$X22:$AF25,6,FALSE)</f>
        <v>0</v>
      </c>
      <c r="BB23" s="1" t="str">
        <f>IF(AND($AY23=$AY25,$AZ23=$AZ25,$BA25&gt;$BA23),$AX25,$AX23)</f>
        <v>Turkey</v>
      </c>
      <c r="BC23" s="1">
        <f>VLOOKUP($BB23,$X22:$AF25,9,FALSE)</f>
        <v>0</v>
      </c>
      <c r="BD23" s="1">
        <f>VLOOKUP($BB23,$X22:$AF25,8,FALSE)</f>
        <v>0</v>
      </c>
      <c r="BE23" s="1">
        <f>VLOOKUP($BB23,$X22:$AF25,6,FALSE)</f>
        <v>0</v>
      </c>
      <c r="BF23" s="1" t="str">
        <f>IF(AND($BC23=$BC24,$BD23=$BD24,$BE24&gt;$BE23),$BB24,$BB23)</f>
        <v>Turkey</v>
      </c>
      <c r="BG23" s="1">
        <f>VLOOKUP($BF23,$X22:$AF25,9,FALSE)</f>
        <v>0</v>
      </c>
      <c r="BH23" s="1">
        <f>VLOOKUP($BF23,$X22:$AF25,8,FALSE)</f>
        <v>0</v>
      </c>
      <c r="BI23" s="1">
        <f>VLOOKUP($BF23,$X22:$AF25,6,FALSE)</f>
        <v>0</v>
      </c>
      <c r="BM23" s="1" t="str">
        <f>BF23</f>
        <v>Turkey</v>
      </c>
      <c r="BN23" s="1">
        <f>VLOOKUP($BM23,$X22:$AF25,2,FALSE)</f>
        <v>0</v>
      </c>
      <c r="BO23" s="1">
        <f>VLOOKUP($BM23,$X22:$AF25,3,FALSE)</f>
        <v>0</v>
      </c>
      <c r="BP23" s="1">
        <f>VLOOKUP($BM23,$X22:$AF25,4,FALSE)</f>
        <v>0</v>
      </c>
      <c r="BQ23" s="1">
        <f>VLOOKUP($BM23,$X22:$AF25,5,FALSE)</f>
        <v>0</v>
      </c>
      <c r="BR23" s="1">
        <f>VLOOKUP($BM23,$X22:$AF25,6,FALSE)</f>
        <v>0</v>
      </c>
      <c r="BS23" s="1">
        <f>VLOOKUP($BM23,$X22:$AF25,7,FALSE)</f>
        <v>0</v>
      </c>
      <c r="BT23" s="1">
        <f>VLOOKUP($BM23,$X22:$AF25,8,FALSE)</f>
        <v>0</v>
      </c>
      <c r="BU23" s="1">
        <f>VLOOKUP($BM23,$X22:$AF25,9,FALSE)</f>
        <v>0</v>
      </c>
    </row>
    <row r="24" spans="2:73" ht="12.75" thickBot="1">
      <c r="B24" s="10">
        <v>38869</v>
      </c>
      <c r="C24" s="11">
        <v>0.6458333333333334</v>
      </c>
      <c r="D24" s="11">
        <f t="shared" si="3"/>
        <v>0.31250000000000006</v>
      </c>
      <c r="E24" s="28" t="s">
        <v>30</v>
      </c>
      <c r="F24" s="13"/>
      <c r="G24" s="14"/>
      <c r="H24" s="12" t="s">
        <v>75</v>
      </c>
      <c r="I24" s="15" t="s">
        <v>49</v>
      </c>
      <c r="J24" s="16" t="s">
        <v>23</v>
      </c>
      <c r="K24" s="1">
        <f t="shared" si="1"/>
      </c>
      <c r="L24" s="1">
        <f t="shared" si="2"/>
      </c>
      <c r="X24" s="1" t="s">
        <v>83</v>
      </c>
      <c r="Y24" s="1">
        <f>COUNT(China_Played)</f>
        <v>0</v>
      </c>
      <c r="Z24" s="1">
        <f>COUNTIF(Groupstage_Winners,"China")</f>
        <v>0</v>
      </c>
      <c r="AA24" s="1">
        <f>COUNTIF(Groupstage_Losers,"China")</f>
        <v>0</v>
      </c>
      <c r="AB24" s="1">
        <f>Y24-(Z24+AA24)</f>
        <v>0</v>
      </c>
      <c r="AC24" s="1">
        <f>SUM(China_Played)</f>
        <v>0</v>
      </c>
      <c r="AD24" s="1">
        <f>SUM(China_Against)</f>
        <v>0</v>
      </c>
      <c r="AE24" s="1">
        <f>AC24-AD24</f>
        <v>0</v>
      </c>
      <c r="AF24" s="1">
        <f>Z24*Winpoints+AB24*Drawpoints</f>
        <v>0</v>
      </c>
      <c r="AG24" s="1" t="str">
        <f>IF($AF24&gt;=$AF25,$X24,$X25)</f>
        <v>China</v>
      </c>
      <c r="AH24" s="1">
        <f>VLOOKUP($AG24,$X22:$AF25,9,FALSE)</f>
        <v>0</v>
      </c>
      <c r="AI24" s="1" t="str">
        <f>IF($AH24&lt;=$AH22,$AG24,$AG22)</f>
        <v>China</v>
      </c>
      <c r="AJ24" s="1">
        <f>VLOOKUP($AI24,$X22:$AF25,9,FALSE)</f>
        <v>0</v>
      </c>
      <c r="AK24" s="1" t="str">
        <f>IF($AJ24&lt;=$AJ23,$AI24,$AI23)</f>
        <v>China</v>
      </c>
      <c r="AL24" s="1">
        <f>VLOOKUP($AK24,$X22:$AF25,9,FALSE)</f>
        <v>0</v>
      </c>
      <c r="AM24" s="1">
        <f>VLOOKUP($AK24,$X22:$AF25,8,FALSE)</f>
        <v>0</v>
      </c>
      <c r="AN24" s="1" t="str">
        <f>IF(AND($AL24=$AL25,$AM25&gt;$AM24),$AK25,$AK24)</f>
        <v>China</v>
      </c>
      <c r="AO24" s="1">
        <f>VLOOKUP($AN24,$X22:$AF25,9,FALSE)</f>
        <v>0</v>
      </c>
      <c r="AP24" s="1">
        <f>VLOOKUP($AN24,$X22:$AF25,8,FALSE)</f>
        <v>0</v>
      </c>
      <c r="AQ24" s="1" t="str">
        <f>IF(AND($AO22=$AO24,$AP24&gt;$AP22),$AN22,$AN24)</f>
        <v>China</v>
      </c>
      <c r="AR24" s="1">
        <f>VLOOKUP($AQ24,$X22:$AF25,9,FALSE)</f>
        <v>0</v>
      </c>
      <c r="AS24" s="1">
        <f>VLOOKUP($AQ24,$X22:$AF25,8,FALSE)</f>
        <v>0</v>
      </c>
      <c r="AT24" s="1" t="str">
        <f>IF(AND($AR23=$AR24,$AS24&gt;$AS23),$AQ23,$AQ24)</f>
        <v>China</v>
      </c>
      <c r="AU24" s="1">
        <f>VLOOKUP($AT24,$X22:$AF25,9,FALSE)</f>
        <v>0</v>
      </c>
      <c r="AV24" s="1">
        <f>VLOOKUP($AT24,$X22:$AF25,8,FALSE)</f>
        <v>0</v>
      </c>
      <c r="AW24" s="1">
        <f>VLOOKUP($AT24,$X22:$AF25,6,FALSE)</f>
        <v>0</v>
      </c>
      <c r="AX24" s="1" t="str">
        <f>IF(AND($AU24=$AU25,$AV24=$AV25,$AW25&gt;$AW24),$AT25,$AT24)</f>
        <v>China</v>
      </c>
      <c r="AY24" s="1">
        <f>VLOOKUP($AX24,$X22:$AF25,9,FALSE)</f>
        <v>0</v>
      </c>
      <c r="AZ24" s="1">
        <f>VLOOKUP($AX24,$X22:$AF25,8,FALSE)</f>
        <v>0</v>
      </c>
      <c r="BA24" s="1">
        <f>VLOOKUP($AX24,$X22:$AF25,6,FALSE)</f>
        <v>0</v>
      </c>
      <c r="BB24" s="1" t="str">
        <f>IF(AND($AY22=$AY24,$AZ22=$AZ24,$BA23&gt;$BA22),$AX22,$AX24)</f>
        <v>China</v>
      </c>
      <c r="BC24" s="1">
        <f>VLOOKUP($BB24,$X22:$AF25,9,FALSE)</f>
        <v>0</v>
      </c>
      <c r="BD24" s="1">
        <f>VLOOKUP($BB24,$X22:$AF25,8,FALSE)</f>
        <v>0</v>
      </c>
      <c r="BE24" s="1">
        <f>VLOOKUP($BB24,$X22:$AF25,6,FALSE)</f>
        <v>0</v>
      </c>
      <c r="BF24" s="1" t="str">
        <f>IF(AND($BC23=$BC24,$BD23=$BD24,$BE24&gt;$BE23),$BB23,$BB24)</f>
        <v>China</v>
      </c>
      <c r="BG24" s="1">
        <f>VLOOKUP($BF24,$X22:$AF25,9,FALSE)</f>
        <v>0</v>
      </c>
      <c r="BH24" s="1">
        <f>VLOOKUP($BF24,$X22:$AF25,8,FALSE)</f>
        <v>0</v>
      </c>
      <c r="BI24" s="1">
        <f>VLOOKUP($BF24,$X22:$AF25,6,FALSE)</f>
        <v>0</v>
      </c>
      <c r="BM24" s="1" t="str">
        <f>BF24</f>
        <v>China</v>
      </c>
      <c r="BN24" s="1">
        <f>VLOOKUP($BM24,$X22:$AF25,2,FALSE)</f>
        <v>0</v>
      </c>
      <c r="BO24" s="1">
        <f>VLOOKUP($BM24,$X22:$AF25,3,FALSE)</f>
        <v>0</v>
      </c>
      <c r="BP24" s="1">
        <f>VLOOKUP($BM24,$X22:$AF25,4,FALSE)</f>
        <v>0</v>
      </c>
      <c r="BQ24" s="1">
        <f>VLOOKUP($BM24,$X22:$AF25,5,FALSE)</f>
        <v>0</v>
      </c>
      <c r="BR24" s="1">
        <f>VLOOKUP($BM24,$X22:$AF25,6,FALSE)</f>
        <v>0</v>
      </c>
      <c r="BS24" s="1">
        <f>VLOOKUP($BM24,$X22:$AF25,7,FALSE)</f>
        <v>0</v>
      </c>
      <c r="BT24" s="1">
        <f>VLOOKUP($BM24,$X22:$AF25,8,FALSE)</f>
        <v>0</v>
      </c>
      <c r="BU24" s="1">
        <f>VLOOKUP($BM24,$X22:$AF25,9,FALSE)</f>
        <v>0</v>
      </c>
    </row>
    <row r="25" spans="2:73" ht="16.5" thickBot="1">
      <c r="B25" s="10">
        <v>38869</v>
      </c>
      <c r="C25" s="11">
        <v>0.75</v>
      </c>
      <c r="D25" s="11">
        <f t="shared" si="3"/>
        <v>0.4166666666666667</v>
      </c>
      <c r="E25" s="28" t="s">
        <v>91</v>
      </c>
      <c r="F25" s="13"/>
      <c r="G25" s="14"/>
      <c r="H25" s="12" t="s">
        <v>89</v>
      </c>
      <c r="I25" s="15" t="s">
        <v>48</v>
      </c>
      <c r="J25" s="16" t="s">
        <v>46</v>
      </c>
      <c r="K25" s="1">
        <f t="shared" si="1"/>
      </c>
      <c r="L25" s="1">
        <f t="shared" si="2"/>
      </c>
      <c r="N25" s="2" t="s">
        <v>34</v>
      </c>
      <c r="O25" s="3"/>
      <c r="P25" s="3"/>
      <c r="Q25" s="3"/>
      <c r="R25" s="3"/>
      <c r="S25" s="3"/>
      <c r="T25" s="3"/>
      <c r="U25" s="3"/>
      <c r="V25" s="4"/>
      <c r="X25" s="1" t="s">
        <v>84</v>
      </c>
      <c r="Y25" s="1">
        <f>COUNT(Costa_Rica_Played)</f>
        <v>0</v>
      </c>
      <c r="Z25" s="1">
        <f>COUNTIF(Groupstage_Winners,"Costa Rica")</f>
        <v>0</v>
      </c>
      <c r="AA25" s="1">
        <f>COUNTIF(Groupstage_Losers,"Costa Rica")</f>
        <v>0</v>
      </c>
      <c r="AB25" s="1">
        <f>Y25-(Z25+AA25)</f>
        <v>0</v>
      </c>
      <c r="AC25" s="1">
        <f>SUM(Costa_Rica_Played)</f>
        <v>0</v>
      </c>
      <c r="AD25" s="1">
        <f>SUM(Costa_Rica_Against)</f>
        <v>0</v>
      </c>
      <c r="AE25" s="1">
        <f>AC25-AD25</f>
        <v>0</v>
      </c>
      <c r="AF25" s="1">
        <f>Z25*Winpoints+AB25*Drawpoints</f>
        <v>0</v>
      </c>
      <c r="AG25" s="1" t="str">
        <f>IF($AF25&lt;=$AF24,$X25,$X24)</f>
        <v>Costa Rica</v>
      </c>
      <c r="AH25" s="1">
        <f>VLOOKUP($AG25,$X22:$AF25,9,FALSE)</f>
        <v>0</v>
      </c>
      <c r="AI25" s="1" t="str">
        <f>IF(AH25&lt;=AH23,AG25,AG23)</f>
        <v>Costa Rica</v>
      </c>
      <c r="AJ25" s="1">
        <f>VLOOKUP($AI25,$X22:$AF25,9,FALSE)</f>
        <v>0</v>
      </c>
      <c r="AK25" s="1" t="str">
        <f>IF($AJ25&lt;=$AJ22,$AI25,$AI22)</f>
        <v>Costa Rica</v>
      </c>
      <c r="AL25" s="1">
        <f>VLOOKUP($AK25,$X22:$AF25,9,FALSE)</f>
        <v>0</v>
      </c>
      <c r="AM25" s="1">
        <f>VLOOKUP($AK25,$X22:$AF25,8,FALSE)</f>
        <v>0</v>
      </c>
      <c r="AN25" s="1" t="str">
        <f>IF(AND($AL24=$AL25,$AM25&gt;$AM24),$AK24,$AK25)</f>
        <v>Costa Rica</v>
      </c>
      <c r="AO25" s="1">
        <f>VLOOKUP($AN25,$X22:$AF25,9,FALSE)</f>
        <v>0</v>
      </c>
      <c r="AP25" s="1">
        <f>VLOOKUP($AN25,$X22:$AF25,8,FALSE)</f>
        <v>0</v>
      </c>
      <c r="AQ25" s="1" t="str">
        <f>IF(AND($AO23=$AO25,$AP25&gt;$AP23),$AN23,$AN25)</f>
        <v>Costa Rica</v>
      </c>
      <c r="AR25" s="1">
        <f>VLOOKUP($AQ25,$X22:$AF25,9,FALSE)</f>
        <v>0</v>
      </c>
      <c r="AS25" s="1">
        <f>VLOOKUP($AQ25,$X22:$AF25,8,FALSE)</f>
        <v>0</v>
      </c>
      <c r="AT25" s="1" t="str">
        <f>IF(AND($AR22=$AR25,$AS25&gt;$AS22),$AQ22,$AQ25)</f>
        <v>Costa Rica</v>
      </c>
      <c r="AU25" s="1">
        <f>VLOOKUP($AT25,$X22:$AF25,9,FALSE)</f>
        <v>0</v>
      </c>
      <c r="AV25" s="1">
        <f>VLOOKUP($AT25,$X22:$AF25,8,FALSE)</f>
        <v>0</v>
      </c>
      <c r="AW25" s="1">
        <f>VLOOKUP($AT25,$X22:$AF25,6,FALSE)</f>
        <v>0</v>
      </c>
      <c r="AX25" s="1" t="str">
        <f>IF(AND($AU24=$AU25,$AV24=$AV25,$AW25&gt;$AW24),$AT24,$AT25)</f>
        <v>Costa Rica</v>
      </c>
      <c r="AY25" s="1">
        <f>VLOOKUP($AX25,$X22:$AF25,9,FALSE)</f>
        <v>0</v>
      </c>
      <c r="AZ25" s="1">
        <f>VLOOKUP($AX25,$X22:$AF25,8,FALSE)</f>
        <v>0</v>
      </c>
      <c r="BA25" s="1">
        <f>VLOOKUP($AX25,$X22:$AF25,6,FALSE)</f>
        <v>0</v>
      </c>
      <c r="BB25" s="1" t="str">
        <f>IF(AND($AY23=$AY25,$AZ23=$AZ25,$BA25&gt;$BA23),$AX23,$AX25)</f>
        <v>Costa Rica</v>
      </c>
      <c r="BC25" s="1">
        <f>VLOOKUP($BB25,$X22:$AF25,9,FALSE)</f>
        <v>0</v>
      </c>
      <c r="BD25" s="1">
        <f>VLOOKUP($BB25,$X22:$AF25,8,FALSE)</f>
        <v>0</v>
      </c>
      <c r="BE25" s="1">
        <f>VLOOKUP($BB25,$X22:$AF25,6,FALSE)</f>
        <v>0</v>
      </c>
      <c r="BF25" s="1" t="str">
        <f>IF(AND($BC22=$BC25,$BD22=$BD25,$BE25&gt;$BE22),$BB22,$BB25)</f>
        <v>Costa Rica</v>
      </c>
      <c r="BG25" s="1">
        <f>VLOOKUP($BF25,$X22:$AF25,9,FALSE)</f>
        <v>0</v>
      </c>
      <c r="BH25" s="1">
        <f>VLOOKUP($BF25,$X22:$AF25,8,FALSE)</f>
        <v>0</v>
      </c>
      <c r="BI25" s="1">
        <f>VLOOKUP($BF25,$X22:$AF25,6,FALSE)</f>
        <v>0</v>
      </c>
      <c r="BM25" s="1" t="str">
        <f>BF25</f>
        <v>Costa Rica</v>
      </c>
      <c r="BN25" s="1">
        <f>VLOOKUP($BM25,$X22:$AF25,2,FALSE)</f>
        <v>0</v>
      </c>
      <c r="BO25" s="1">
        <f>VLOOKUP($BM25,$X22:$AF25,3,FALSE)</f>
        <v>0</v>
      </c>
      <c r="BP25" s="1">
        <f>VLOOKUP($BM25,$X22:$AF25,4,FALSE)</f>
        <v>0</v>
      </c>
      <c r="BQ25" s="1">
        <f>VLOOKUP($BM25,$X22:$AF25,5,FALSE)</f>
        <v>0</v>
      </c>
      <c r="BR25" s="1">
        <f>VLOOKUP($BM25,$X22:$AF25,6,FALSE)</f>
        <v>0</v>
      </c>
      <c r="BS25" s="1">
        <f>VLOOKUP($BM25,$X22:$AF25,7,FALSE)</f>
        <v>0</v>
      </c>
      <c r="BT25" s="1">
        <f>VLOOKUP($BM25,$X22:$AF25,8,FALSE)</f>
        <v>0</v>
      </c>
      <c r="BU25" s="1">
        <f>VLOOKUP($BM25,$X22:$AF25,9,FALSE)</f>
        <v>0</v>
      </c>
    </row>
    <row r="26" spans="2:22" ht="12.75" thickBot="1">
      <c r="B26" s="10">
        <v>38869</v>
      </c>
      <c r="C26" s="11">
        <v>0.8541666666666666</v>
      </c>
      <c r="D26" s="11">
        <f t="shared" si="3"/>
        <v>0.5208333333333333</v>
      </c>
      <c r="E26" s="28" t="s">
        <v>76</v>
      </c>
      <c r="F26" s="13"/>
      <c r="G26" s="14"/>
      <c r="H26" s="12" t="s">
        <v>74</v>
      </c>
      <c r="I26" s="15" t="s">
        <v>58</v>
      </c>
      <c r="J26" s="16" t="s">
        <v>23</v>
      </c>
      <c r="K26" s="1">
        <f t="shared" si="1"/>
      </c>
      <c r="L26" s="1">
        <f t="shared" si="2"/>
      </c>
      <c r="N26" s="7"/>
      <c r="O26" s="8" t="s">
        <v>18</v>
      </c>
      <c r="P26" s="8" t="s">
        <v>19</v>
      </c>
      <c r="Q26" s="8" t="s">
        <v>20</v>
      </c>
      <c r="R26" s="8" t="s">
        <v>21</v>
      </c>
      <c r="S26" s="8" t="s">
        <v>22</v>
      </c>
      <c r="T26" s="8" t="s">
        <v>23</v>
      </c>
      <c r="U26" s="8" t="s">
        <v>24</v>
      </c>
      <c r="V26" s="9" t="s">
        <v>25</v>
      </c>
    </row>
    <row r="27" spans="2:24" ht="12.75" thickBot="1">
      <c r="B27" s="10">
        <v>39234</v>
      </c>
      <c r="C27" s="11">
        <v>0.6458333333333334</v>
      </c>
      <c r="D27" s="11">
        <f t="shared" si="3"/>
        <v>0.31250000000000006</v>
      </c>
      <c r="E27" s="28" t="s">
        <v>95</v>
      </c>
      <c r="F27" s="13"/>
      <c r="G27" s="14"/>
      <c r="H27" s="12" t="s">
        <v>93</v>
      </c>
      <c r="I27" s="15" t="s">
        <v>56</v>
      </c>
      <c r="J27" s="16" t="s">
        <v>22</v>
      </c>
      <c r="K27" s="1">
        <f t="shared" si="1"/>
      </c>
      <c r="L27" s="1">
        <f t="shared" si="2"/>
      </c>
      <c r="N27" s="17" t="str">
        <f aca="true" t="shared" si="6" ref="N27:V30">BM29</f>
        <v>South Korea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9">
        <f t="shared" si="6"/>
        <v>0</v>
      </c>
      <c r="X27" s="1" t="s">
        <v>34</v>
      </c>
    </row>
    <row r="28" spans="2:32" ht="12.75" thickBot="1">
      <c r="B28" s="10">
        <v>39234</v>
      </c>
      <c r="C28" s="11">
        <v>0.75</v>
      </c>
      <c r="D28" s="11">
        <f t="shared" si="3"/>
        <v>0.4166666666666667</v>
      </c>
      <c r="E28" s="28" t="s">
        <v>77</v>
      </c>
      <c r="F28" s="13"/>
      <c r="G28" s="14"/>
      <c r="H28" s="12" t="s">
        <v>79</v>
      </c>
      <c r="I28" s="15" t="s">
        <v>59</v>
      </c>
      <c r="J28" s="16" t="s">
        <v>26</v>
      </c>
      <c r="K28" s="1">
        <f t="shared" si="1"/>
      </c>
      <c r="L28" s="1">
        <f t="shared" si="2"/>
      </c>
      <c r="N28" s="17" t="str">
        <f t="shared" si="6"/>
        <v>Poland</v>
      </c>
      <c r="O28" s="18">
        <f t="shared" si="6"/>
        <v>0</v>
      </c>
      <c r="P28" s="18">
        <f t="shared" si="6"/>
        <v>0</v>
      </c>
      <c r="Q28" s="18">
        <f t="shared" si="6"/>
        <v>0</v>
      </c>
      <c r="R28" s="18">
        <f t="shared" si="6"/>
        <v>0</v>
      </c>
      <c r="S28" s="18">
        <f t="shared" si="6"/>
        <v>0</v>
      </c>
      <c r="T28" s="18">
        <f t="shared" si="6"/>
        <v>0</v>
      </c>
      <c r="U28" s="18">
        <f t="shared" si="6"/>
        <v>0</v>
      </c>
      <c r="V28" s="19">
        <f t="shared" si="6"/>
        <v>0</v>
      </c>
      <c r="Y28" s="1" t="s">
        <v>27</v>
      </c>
      <c r="Z28" s="1" t="s">
        <v>19</v>
      </c>
      <c r="AA28" s="1" t="s">
        <v>20</v>
      </c>
      <c r="AB28" s="1" t="s">
        <v>21</v>
      </c>
      <c r="AC28" s="1" t="s">
        <v>22</v>
      </c>
      <c r="AD28" s="1" t="s">
        <v>23</v>
      </c>
      <c r="AE28" s="1" t="s">
        <v>24</v>
      </c>
      <c r="AF28" s="1" t="s">
        <v>28</v>
      </c>
    </row>
    <row r="29" spans="2:73" ht="12.75" thickBot="1">
      <c r="B29" s="10">
        <v>39234</v>
      </c>
      <c r="C29" s="11">
        <v>0.8541666666666666</v>
      </c>
      <c r="D29" s="11">
        <f t="shared" si="3"/>
        <v>0.5208333333333333</v>
      </c>
      <c r="E29" s="28" t="s">
        <v>92</v>
      </c>
      <c r="F29" s="13"/>
      <c r="G29" s="14"/>
      <c r="H29" s="12" t="s">
        <v>94</v>
      </c>
      <c r="I29" s="15" t="s">
        <v>47</v>
      </c>
      <c r="J29" s="16" t="s">
        <v>22</v>
      </c>
      <c r="K29" s="1">
        <f t="shared" si="1"/>
      </c>
      <c r="L29" s="1">
        <f t="shared" si="2"/>
      </c>
      <c r="N29" s="17" t="str">
        <f t="shared" si="6"/>
        <v>USA</v>
      </c>
      <c r="O29" s="18">
        <f t="shared" si="6"/>
        <v>0</v>
      </c>
      <c r="P29" s="18">
        <f t="shared" si="6"/>
        <v>0</v>
      </c>
      <c r="Q29" s="18">
        <f t="shared" si="6"/>
        <v>0</v>
      </c>
      <c r="R29" s="18">
        <f t="shared" si="6"/>
        <v>0</v>
      </c>
      <c r="S29" s="18">
        <f t="shared" si="6"/>
        <v>0</v>
      </c>
      <c r="T29" s="18">
        <f t="shared" si="6"/>
        <v>0</v>
      </c>
      <c r="U29" s="18">
        <f t="shared" si="6"/>
        <v>0</v>
      </c>
      <c r="V29" s="19">
        <f t="shared" si="6"/>
        <v>0</v>
      </c>
      <c r="X29" s="1" t="s">
        <v>52</v>
      </c>
      <c r="Y29" s="1">
        <f>COUNT(South_Korea_Played)</f>
        <v>0</v>
      </c>
      <c r="Z29" s="1">
        <f>COUNTIF(Groupstage_Winners,"South Korea")</f>
        <v>0</v>
      </c>
      <c r="AA29" s="1">
        <f>COUNTIF(Groupstage_Losers,"South Korea")</f>
        <v>0</v>
      </c>
      <c r="AB29" s="1">
        <f>Y29-(Z29+AA29)</f>
        <v>0</v>
      </c>
      <c r="AC29" s="1">
        <f>SUM(South_Korea_Played)</f>
        <v>0</v>
      </c>
      <c r="AD29" s="1">
        <f>SUM(South_Korea_Against)</f>
        <v>0</v>
      </c>
      <c r="AE29" s="1">
        <f>AC29-AD29</f>
        <v>0</v>
      </c>
      <c r="AF29" s="1">
        <f>Z29*Winpoints+AB29*Drawpoints</f>
        <v>0</v>
      </c>
      <c r="AG29" s="1" t="str">
        <f>IF($AF29&gt;=$AF30,$X29,$X30)</f>
        <v>South Korea</v>
      </c>
      <c r="AH29" s="1">
        <f>VLOOKUP($AG29,$X29:$AF32,9,FALSE)</f>
        <v>0</v>
      </c>
      <c r="AI29" s="1" t="str">
        <f>IF($AH29&gt;=$AH31,$AG29,$AG31)</f>
        <v>South Korea</v>
      </c>
      <c r="AJ29" s="1">
        <f>VLOOKUP($AI29,$X29:$AF32,9,FALSE)</f>
        <v>0</v>
      </c>
      <c r="AK29" s="1" t="str">
        <f>IF($AJ29&gt;=$AJ32,$AI29,$AI32)</f>
        <v>South Korea</v>
      </c>
      <c r="AL29" s="1">
        <f>VLOOKUP($AK29,$X29:$AF32,9,FALSE)</f>
        <v>0</v>
      </c>
      <c r="AM29" s="1">
        <f>VLOOKUP($AK29,$X29:$AF32,8,FALSE)</f>
        <v>0</v>
      </c>
      <c r="AN29" s="1" t="str">
        <f>IF(AND($AL29=$AL30,$AM30&gt;$AM29),$AK30,$AK29)</f>
        <v>South Korea</v>
      </c>
      <c r="AO29" s="1">
        <f>VLOOKUP($AN29,$X29:$AF32,9,FALSE)</f>
        <v>0</v>
      </c>
      <c r="AP29" s="1">
        <f>VLOOKUP($AN29,$X29:$AF32,8,FALSE)</f>
        <v>0</v>
      </c>
      <c r="AQ29" s="1" t="str">
        <f>IF(AND($AO29=$AO31,$AP31&gt;$AP29),$AN31,$AN29)</f>
        <v>South Korea</v>
      </c>
      <c r="AR29" s="1">
        <f>VLOOKUP($AQ29,$X29:$AF32,9,FALSE)</f>
        <v>0</v>
      </c>
      <c r="AS29" s="1">
        <f>VLOOKUP($AQ29,$X29:$AF32,8,FALSE)</f>
        <v>0</v>
      </c>
      <c r="AT29" s="1" t="str">
        <f>IF(AND($AR29=$AR32,$AS32&gt;$AS29),$AQ32,$AQ29)</f>
        <v>South Korea</v>
      </c>
      <c r="AU29" s="1">
        <f>VLOOKUP($AT29,$X29:$AF32,9,FALSE)</f>
        <v>0</v>
      </c>
      <c r="AV29" s="1">
        <f>VLOOKUP($AT29,$X29:$AF32,8,FALSE)</f>
        <v>0</v>
      </c>
      <c r="AW29" s="1">
        <f>VLOOKUP($AT29,$X29:$AF32,6,FALSE)</f>
        <v>0</v>
      </c>
      <c r="AX29" s="1" t="str">
        <f>IF(AND($AU29=$AU30,$AV29=$AV30,$AW30&gt;$AW29),$AT30,$AT29)</f>
        <v>South Korea</v>
      </c>
      <c r="AY29" s="1">
        <f>VLOOKUP($AX29,$X29:$AF32,9,FALSE)</f>
        <v>0</v>
      </c>
      <c r="AZ29" s="1">
        <f>VLOOKUP($AX29,$X29:$AF32,8,FALSE)</f>
        <v>0</v>
      </c>
      <c r="BA29" s="1">
        <f>VLOOKUP($AX29,$X29:$AF32,6,FALSE)</f>
        <v>0</v>
      </c>
      <c r="BB29" s="1" t="str">
        <f>IF(AND($AY29=$AY31,$AZ29=$AZ31,$BA31&gt;$BA29),$AX31,$AX29)</f>
        <v>South Korea</v>
      </c>
      <c r="BC29" s="1">
        <f>VLOOKUP($BB29,$X29:$AF32,9,FALSE)</f>
        <v>0</v>
      </c>
      <c r="BD29" s="1">
        <f>VLOOKUP($BB29,$X29:$AF32,8,FALSE)</f>
        <v>0</v>
      </c>
      <c r="BE29" s="1">
        <f>VLOOKUP($BB29,$X29:$AF32,6,FALSE)</f>
        <v>0</v>
      </c>
      <c r="BF29" s="1" t="str">
        <f>IF(AND($BC29=$BC32,$BD29=$BD32,$BE32&gt;$BE29),$BB32,$BB29)</f>
        <v>South Korea</v>
      </c>
      <c r="BG29" s="1">
        <f>VLOOKUP($BF29,$X29:$AF32,9,FALSE)</f>
        <v>0</v>
      </c>
      <c r="BH29" s="1">
        <f>VLOOKUP($BF29,$X29:$AF32,8,FALSE)</f>
        <v>0</v>
      </c>
      <c r="BI29" s="1">
        <f>VLOOKUP($BF29,$X29:$AF32,6,FALSE)</f>
        <v>0</v>
      </c>
      <c r="BM29" s="1" t="str">
        <f>BF29</f>
        <v>South Korea</v>
      </c>
      <c r="BN29" s="1">
        <f>VLOOKUP($BM29,$X29:$AF32,2,FALSE)</f>
        <v>0</v>
      </c>
      <c r="BO29" s="1">
        <f>VLOOKUP($BM29,$X29:$AF32,3,FALSE)</f>
        <v>0</v>
      </c>
      <c r="BP29" s="1">
        <f>VLOOKUP($BM29,$X29:$AF32,4,FALSE)</f>
        <v>0</v>
      </c>
      <c r="BQ29" s="1">
        <f>VLOOKUP($BM29,$X29:$AF32,5,FALSE)</f>
        <v>0</v>
      </c>
      <c r="BR29" s="1">
        <f>VLOOKUP($BM29,$X29:$AF32,6,FALSE)</f>
        <v>0</v>
      </c>
      <c r="BS29" s="1">
        <f>VLOOKUP($BM29,$X29:$AF32,7,FALSE)</f>
        <v>0</v>
      </c>
      <c r="BT29" s="1">
        <f>VLOOKUP($BM29,$X29:$AF32,8,FALSE)</f>
        <v>0</v>
      </c>
      <c r="BU29" s="1">
        <f>VLOOKUP($BM29,$X29:$AF32,9,FALSE)</f>
        <v>0</v>
      </c>
    </row>
    <row r="30" spans="2:73" ht="12.75" thickBot="1">
      <c r="B30" s="10">
        <v>39600</v>
      </c>
      <c r="C30" s="11">
        <v>0.6458333333333334</v>
      </c>
      <c r="D30" s="11">
        <f t="shared" si="3"/>
        <v>0.31250000000000006</v>
      </c>
      <c r="E30" s="28" t="s">
        <v>80</v>
      </c>
      <c r="F30" s="13"/>
      <c r="G30" s="14"/>
      <c r="H30" s="12" t="s">
        <v>78</v>
      </c>
      <c r="I30" s="15" t="s">
        <v>58</v>
      </c>
      <c r="J30" s="16" t="s">
        <v>26</v>
      </c>
      <c r="K30" s="1">
        <f t="shared" si="1"/>
      </c>
      <c r="L30" s="1">
        <f t="shared" si="2"/>
      </c>
      <c r="N30" s="20" t="str">
        <f t="shared" si="6"/>
        <v>Portugal</v>
      </c>
      <c r="O30" s="21">
        <f t="shared" si="6"/>
        <v>0</v>
      </c>
      <c r="P30" s="21">
        <f t="shared" si="6"/>
        <v>0</v>
      </c>
      <c r="Q30" s="21">
        <f t="shared" si="6"/>
        <v>0</v>
      </c>
      <c r="R30" s="21">
        <f t="shared" si="6"/>
        <v>0</v>
      </c>
      <c r="S30" s="21">
        <f t="shared" si="6"/>
        <v>0</v>
      </c>
      <c r="T30" s="21">
        <f t="shared" si="6"/>
        <v>0</v>
      </c>
      <c r="U30" s="21">
        <f t="shared" si="6"/>
        <v>0</v>
      </c>
      <c r="V30" s="22">
        <f t="shared" si="6"/>
        <v>0</v>
      </c>
      <c r="X30" s="1" t="s">
        <v>85</v>
      </c>
      <c r="Y30" s="1">
        <f>COUNT(Poland_Played)</f>
        <v>0</v>
      </c>
      <c r="Z30" s="1">
        <f>COUNTIF(Groupstage_Winners,"Poland")</f>
        <v>0</v>
      </c>
      <c r="AA30" s="1">
        <f>COUNTIF(Groupstage_Losers,"Poland")</f>
        <v>0</v>
      </c>
      <c r="AB30" s="1">
        <f>Y30-(Z30+AA30)</f>
        <v>0</v>
      </c>
      <c r="AC30" s="1">
        <f>SUM(Poland_Played)</f>
        <v>0</v>
      </c>
      <c r="AD30" s="1">
        <f>SUM(Poland_Against)</f>
        <v>0</v>
      </c>
      <c r="AE30" s="1">
        <f>AC30-AD30</f>
        <v>0</v>
      </c>
      <c r="AF30" s="1">
        <f>Z30*Winpoints+AB30*Drawpoints</f>
        <v>0</v>
      </c>
      <c r="AG30" s="1" t="str">
        <f>IF($AF30&lt;=$AF29,$X30,$X29)</f>
        <v>Poland</v>
      </c>
      <c r="AH30" s="1">
        <f>VLOOKUP($AG30,$X29:$AF32,9,FALSE)</f>
        <v>0</v>
      </c>
      <c r="AI30" s="1" t="str">
        <f>IF(AH30&gt;=AH32,AG30,AG32)</f>
        <v>Poland</v>
      </c>
      <c r="AJ30" s="1">
        <f>VLOOKUP($AI30,$X29:$AF32,9,FALSE)</f>
        <v>0</v>
      </c>
      <c r="AK30" s="1" t="str">
        <f>IF($AJ30&gt;=$AJ31,$AI30,$AI31)</f>
        <v>Poland</v>
      </c>
      <c r="AL30" s="1">
        <f>VLOOKUP($AK30,$X29:$AF32,9,FALSE)</f>
        <v>0</v>
      </c>
      <c r="AM30" s="1">
        <f>VLOOKUP($AK30,$X29:$AF32,8,FALSE)</f>
        <v>0</v>
      </c>
      <c r="AN30" s="1" t="str">
        <f>IF(AND($AL29=$AL30,$AM30&gt;$AM29),$AK29,$AK30)</f>
        <v>Poland</v>
      </c>
      <c r="AO30" s="1">
        <f>VLOOKUP($AN30,$X29:$AF32,9,FALSE)</f>
        <v>0</v>
      </c>
      <c r="AP30" s="1">
        <f>VLOOKUP($AN30,$X29:$AF32,8,FALSE)</f>
        <v>0</v>
      </c>
      <c r="AQ30" s="1" t="str">
        <f>IF(AND($AO30=$AO32,$AP32&gt;$AP30),$AN32,$AN30)</f>
        <v>Poland</v>
      </c>
      <c r="AR30" s="1">
        <f>VLOOKUP($AQ30,$X29:$AF32,9,FALSE)</f>
        <v>0</v>
      </c>
      <c r="AS30" s="1">
        <f>VLOOKUP($AQ30,$X29:$AF32,8,FALSE)</f>
        <v>0</v>
      </c>
      <c r="AT30" s="1" t="str">
        <f>IF(AND($AR30=$AR31,$AS31&gt;$AS30),$AQ31,$AQ30)</f>
        <v>Poland</v>
      </c>
      <c r="AU30" s="1">
        <f>VLOOKUP($AT30,$X29:$AF32,9,FALSE)</f>
        <v>0</v>
      </c>
      <c r="AV30" s="1">
        <f>VLOOKUP($AT30,$X29:$AF32,8,FALSE)</f>
        <v>0</v>
      </c>
      <c r="AW30" s="1">
        <f>VLOOKUP($AT30,$X29:$AF32,6,FALSE)</f>
        <v>0</v>
      </c>
      <c r="AX30" s="1" t="str">
        <f>IF(AND($AU29=$AU30,$AV29=$AV30,$AW30&gt;$AW29),$AT29,$AT30)</f>
        <v>Poland</v>
      </c>
      <c r="AY30" s="1">
        <f>VLOOKUP($AX30,$X29:$AF32,9,FALSE)</f>
        <v>0</v>
      </c>
      <c r="AZ30" s="1">
        <f>VLOOKUP($AX30,$X29:$AF32,8,FALSE)</f>
        <v>0</v>
      </c>
      <c r="BA30" s="1">
        <f>VLOOKUP($AX30,$X29:$AF32,6,FALSE)</f>
        <v>0</v>
      </c>
      <c r="BB30" s="1" t="str">
        <f>IF(AND($AY30=$AY32,$AZ30=$AZ32,$BA32&gt;$BA30),$AX32,$AX30)</f>
        <v>Poland</v>
      </c>
      <c r="BC30" s="1">
        <f>VLOOKUP($BB30,$X29:$AF32,9,FALSE)</f>
        <v>0</v>
      </c>
      <c r="BD30" s="1">
        <f>VLOOKUP($BB30,$X29:$AF32,8,FALSE)</f>
        <v>0</v>
      </c>
      <c r="BE30" s="1">
        <f>VLOOKUP($BB30,$X29:$AF32,6,FALSE)</f>
        <v>0</v>
      </c>
      <c r="BF30" s="1" t="str">
        <f>IF(AND($BC30=$BC31,$BD30=$BD31,$BE31&gt;$BE30),$BB31,$BB30)</f>
        <v>Poland</v>
      </c>
      <c r="BG30" s="1">
        <f>VLOOKUP($BF30,$X29:$AF32,9,FALSE)</f>
        <v>0</v>
      </c>
      <c r="BH30" s="1">
        <f>VLOOKUP($BF30,$X29:$AF32,8,FALSE)</f>
        <v>0</v>
      </c>
      <c r="BI30" s="1">
        <f>VLOOKUP($BF30,$X29:$AF32,6,FALSE)</f>
        <v>0</v>
      </c>
      <c r="BM30" s="1" t="str">
        <f>BF30</f>
        <v>Poland</v>
      </c>
      <c r="BN30" s="1">
        <f>VLOOKUP($BM30,$X29:$AF32,2,FALSE)</f>
        <v>0</v>
      </c>
      <c r="BO30" s="1">
        <f>VLOOKUP($BM30,$X29:$AF32,3,FALSE)</f>
        <v>0</v>
      </c>
      <c r="BP30" s="1">
        <f>VLOOKUP($BM30,$X29:$AF32,4,FALSE)</f>
        <v>0</v>
      </c>
      <c r="BQ30" s="1">
        <f>VLOOKUP($BM30,$X29:$AF32,5,FALSE)</f>
        <v>0</v>
      </c>
      <c r="BR30" s="1">
        <f>VLOOKUP($BM30,$X29:$AF32,6,FALSE)</f>
        <v>0</v>
      </c>
      <c r="BS30" s="1">
        <f>VLOOKUP($BM30,$X29:$AF32,7,FALSE)</f>
        <v>0</v>
      </c>
      <c r="BT30" s="1">
        <f>VLOOKUP($BM30,$X29:$AF32,8,FALSE)</f>
        <v>0</v>
      </c>
      <c r="BU30" s="1">
        <f>VLOOKUP($BM30,$X29:$AF32,9,FALSE)</f>
        <v>0</v>
      </c>
    </row>
    <row r="31" spans="2:73" ht="12.75" thickBot="1">
      <c r="B31" s="10">
        <v>39600</v>
      </c>
      <c r="C31" s="11">
        <v>0.75</v>
      </c>
      <c r="D31" s="11">
        <f t="shared" si="3"/>
        <v>0.4166666666666667</v>
      </c>
      <c r="E31" s="28" t="s">
        <v>96</v>
      </c>
      <c r="F31" s="13"/>
      <c r="G31" s="14"/>
      <c r="H31" s="12" t="s">
        <v>98</v>
      </c>
      <c r="I31" s="15" t="s">
        <v>50</v>
      </c>
      <c r="J31" s="16" t="s">
        <v>53</v>
      </c>
      <c r="K31" s="1">
        <f>IF(F31&lt;&gt;"",IF(F31&gt;G31,E31,IF(G31&gt;F31,H31,"Draw")),"")</f>
      </c>
      <c r="L31" s="1">
        <f>IF(F31&lt;&gt;"",IF(F31&lt;G31,E31,IF(G31&lt;F31,H31,"Draw")),"")</f>
      </c>
      <c r="X31" s="1" t="s">
        <v>86</v>
      </c>
      <c r="Y31" s="1">
        <f>COUNT(USA_Played)</f>
        <v>0</v>
      </c>
      <c r="Z31" s="1">
        <f>COUNTIF(Groupstage_Winners,"USA")</f>
        <v>0</v>
      </c>
      <c r="AA31" s="1">
        <f>COUNTIF(Groupstage_Losers,"USA")</f>
        <v>0</v>
      </c>
      <c r="AB31" s="1">
        <f>Y31-(Z31+AA31)</f>
        <v>0</v>
      </c>
      <c r="AC31" s="1">
        <f>SUM(USA_Played)</f>
        <v>0</v>
      </c>
      <c r="AD31" s="1">
        <f>SUM(USA_Against)</f>
        <v>0</v>
      </c>
      <c r="AE31" s="1">
        <f>AC31-AD31</f>
        <v>0</v>
      </c>
      <c r="AF31" s="1">
        <f>Z31*Winpoints+AB31*Drawpoints</f>
        <v>0</v>
      </c>
      <c r="AG31" s="1" t="str">
        <f>IF($AF31&gt;=$AF32,$X31,$X32)</f>
        <v>USA</v>
      </c>
      <c r="AH31" s="1">
        <f>VLOOKUP($AG31,$X29:$AF32,9,FALSE)</f>
        <v>0</v>
      </c>
      <c r="AI31" s="1" t="str">
        <f>IF($AH31&lt;=$AH29,$AG31,$AG29)</f>
        <v>USA</v>
      </c>
      <c r="AJ31" s="1">
        <f>VLOOKUP($AI31,$X29:$AF32,9,FALSE)</f>
        <v>0</v>
      </c>
      <c r="AK31" s="1" t="str">
        <f>IF($AJ31&lt;=$AJ30,$AI31,$AI30)</f>
        <v>USA</v>
      </c>
      <c r="AL31" s="1">
        <f>VLOOKUP($AK31,$X29:$AF32,9,FALSE)</f>
        <v>0</v>
      </c>
      <c r="AM31" s="1">
        <f>VLOOKUP($AK31,$X29:$AF32,8,FALSE)</f>
        <v>0</v>
      </c>
      <c r="AN31" s="1" t="str">
        <f>IF(AND($AL31=$AL32,$AM32&gt;$AM31),$AK32,$AK31)</f>
        <v>USA</v>
      </c>
      <c r="AO31" s="1">
        <f>VLOOKUP($AN31,$X29:$AF32,9,FALSE)</f>
        <v>0</v>
      </c>
      <c r="AP31" s="1">
        <f>VLOOKUP($AN31,$X29:$AF32,8,FALSE)</f>
        <v>0</v>
      </c>
      <c r="AQ31" s="1" t="str">
        <f>IF(AND($AO29=$AO31,$AP31&gt;$AP29),$AN29,$AN31)</f>
        <v>USA</v>
      </c>
      <c r="AR31" s="1">
        <f>VLOOKUP($AQ31,$X29:$AF32,9,FALSE)</f>
        <v>0</v>
      </c>
      <c r="AS31" s="1">
        <f>VLOOKUP($AQ31,$X29:$AF32,8,FALSE)</f>
        <v>0</v>
      </c>
      <c r="AT31" s="1" t="str">
        <f>IF(AND($AR30=$AR31,$AS31&gt;$AS30),$AQ30,$AQ31)</f>
        <v>USA</v>
      </c>
      <c r="AU31" s="1">
        <f>VLOOKUP($AT31,$X29:$AF32,9,FALSE)</f>
        <v>0</v>
      </c>
      <c r="AV31" s="1">
        <f>VLOOKUP($AT31,$X29:$AF32,8,FALSE)</f>
        <v>0</v>
      </c>
      <c r="AW31" s="1">
        <f>VLOOKUP($AT31,$X29:$AF32,6,FALSE)</f>
        <v>0</v>
      </c>
      <c r="AX31" s="1" t="str">
        <f>IF(AND($AU31=$AU32,$AV31=$AV32,$AW32&gt;$AW31),$AT32,$AT31)</f>
        <v>USA</v>
      </c>
      <c r="AY31" s="1">
        <f>VLOOKUP($AX31,$X29:$AF32,9,FALSE)</f>
        <v>0</v>
      </c>
      <c r="AZ31" s="1">
        <f>VLOOKUP($AX31,$X29:$AF32,8,FALSE)</f>
        <v>0</v>
      </c>
      <c r="BA31" s="1">
        <f>VLOOKUP($AX31,$X29:$AF32,6,FALSE)</f>
        <v>0</v>
      </c>
      <c r="BB31" s="1" t="str">
        <f>IF(AND($AY29=$AY31,$AZ29=$AZ31,$BA30&gt;$BA29),$AX29,$AX31)</f>
        <v>USA</v>
      </c>
      <c r="BC31" s="1">
        <f>VLOOKUP($BB31,$X29:$AF32,9,FALSE)</f>
        <v>0</v>
      </c>
      <c r="BD31" s="1">
        <f>VLOOKUP($BB31,$X29:$AF32,8,FALSE)</f>
        <v>0</v>
      </c>
      <c r="BE31" s="1">
        <f>VLOOKUP($BB31,$X29:$AF32,6,FALSE)</f>
        <v>0</v>
      </c>
      <c r="BF31" s="1" t="str">
        <f>IF(AND($BC30=$BC31,$BD30=$BD31,$BE31&gt;$BE30),$BB30,$BB31)</f>
        <v>USA</v>
      </c>
      <c r="BG31" s="1">
        <f>VLOOKUP($BF31,$X29:$AF32,9,FALSE)</f>
        <v>0</v>
      </c>
      <c r="BH31" s="1">
        <f>VLOOKUP($BF31,$X29:$AF32,8,FALSE)</f>
        <v>0</v>
      </c>
      <c r="BI31" s="1">
        <f>VLOOKUP($BF31,$X29:$AF32,6,FALSE)</f>
        <v>0</v>
      </c>
      <c r="BM31" s="1" t="str">
        <f>BF31</f>
        <v>USA</v>
      </c>
      <c r="BN31" s="1">
        <f>VLOOKUP($BM31,$X29:$AF32,2,FALSE)</f>
        <v>0</v>
      </c>
      <c r="BO31" s="1">
        <f>VLOOKUP($BM31,$X29:$AF32,3,FALSE)</f>
        <v>0</v>
      </c>
      <c r="BP31" s="1">
        <f>VLOOKUP($BM31,$X29:$AF32,4,FALSE)</f>
        <v>0</v>
      </c>
      <c r="BQ31" s="1">
        <f>VLOOKUP($BM31,$X29:$AF32,5,FALSE)</f>
        <v>0</v>
      </c>
      <c r="BR31" s="1">
        <f>VLOOKUP($BM31,$X29:$AF32,6,FALSE)</f>
        <v>0</v>
      </c>
      <c r="BS31" s="1">
        <f>VLOOKUP($BM31,$X29:$AF32,7,FALSE)</f>
        <v>0</v>
      </c>
      <c r="BT31" s="1">
        <f>VLOOKUP($BM31,$X29:$AF32,8,FALSE)</f>
        <v>0</v>
      </c>
      <c r="BU31" s="1">
        <f>VLOOKUP($BM31,$X29:$AF32,9,FALSE)</f>
        <v>0</v>
      </c>
    </row>
    <row r="32" spans="2:73" ht="12.75" thickBot="1">
      <c r="B32" s="10">
        <v>39600</v>
      </c>
      <c r="C32" s="11">
        <v>0.8541666666666666</v>
      </c>
      <c r="D32" s="11">
        <f t="shared" si="3"/>
        <v>0.5208333333333333</v>
      </c>
      <c r="E32" s="28" t="s">
        <v>81</v>
      </c>
      <c r="F32" s="13"/>
      <c r="G32" s="14"/>
      <c r="H32" s="12" t="s">
        <v>83</v>
      </c>
      <c r="I32" s="15" t="s">
        <v>60</v>
      </c>
      <c r="J32" s="16" t="s">
        <v>32</v>
      </c>
      <c r="K32" s="1">
        <f>IF(F32&lt;&gt;"",IF(F32&gt;G32,E32,IF(G32&gt;F32,H32,"Draw")),"")</f>
      </c>
      <c r="L32" s="1">
        <f>IF(F32&lt;&gt;"",IF(F32&lt;G32,E32,IF(G32&lt;F32,H32,"Draw")),"")</f>
      </c>
      <c r="X32" s="1" t="s">
        <v>87</v>
      </c>
      <c r="Y32" s="1">
        <f>COUNT(Portugal_Played)</f>
        <v>0</v>
      </c>
      <c r="Z32" s="1">
        <f>COUNTIF(Groupstage_Winners,"Portugal")</f>
        <v>0</v>
      </c>
      <c r="AA32" s="1">
        <f>COUNTIF(Groupstage_Losers,"Portugal")</f>
        <v>0</v>
      </c>
      <c r="AB32" s="1">
        <f>Y32-(Z32+AA32)</f>
        <v>0</v>
      </c>
      <c r="AC32" s="1">
        <f>SUM(Portugal_Played)</f>
        <v>0</v>
      </c>
      <c r="AD32" s="1">
        <f>SUM(Portugal_Against)</f>
        <v>0</v>
      </c>
      <c r="AE32" s="1">
        <f>AC32-AD32</f>
        <v>0</v>
      </c>
      <c r="AF32" s="1">
        <f>Z32*Winpoints+AB32*Drawpoints</f>
        <v>0</v>
      </c>
      <c r="AG32" s="1" t="str">
        <f>IF($AF32&lt;=$AF31,$X32,$X31)</f>
        <v>Portugal</v>
      </c>
      <c r="AH32" s="1">
        <f>VLOOKUP($AG32,$X29:$AF32,9,FALSE)</f>
        <v>0</v>
      </c>
      <c r="AI32" s="1" t="str">
        <f>IF(AH32&lt;=AH30,AG32,AG30)</f>
        <v>Portugal</v>
      </c>
      <c r="AJ32" s="1">
        <f>VLOOKUP($AI32,$X29:$AF32,9,FALSE)</f>
        <v>0</v>
      </c>
      <c r="AK32" s="1" t="str">
        <f>IF($AJ32&lt;=$AJ29,$AI32,$AI29)</f>
        <v>Portugal</v>
      </c>
      <c r="AL32" s="1">
        <f>VLOOKUP($AK32,$X29:$AF32,9,FALSE)</f>
        <v>0</v>
      </c>
      <c r="AM32" s="1">
        <f>VLOOKUP($AK32,$X29:$AF32,8,FALSE)</f>
        <v>0</v>
      </c>
      <c r="AN32" s="1" t="str">
        <f>IF(AND($AL31=$AL32,$AM32&gt;$AM31),$AK31,$AK32)</f>
        <v>Portugal</v>
      </c>
      <c r="AO32" s="1">
        <f>VLOOKUP($AN32,$X29:$AF32,9,FALSE)</f>
        <v>0</v>
      </c>
      <c r="AP32" s="1">
        <f>VLOOKUP($AN32,$X29:$AF32,8,FALSE)</f>
        <v>0</v>
      </c>
      <c r="AQ32" s="1" t="str">
        <f>IF(AND($AO30=$AO32,$AP32&gt;$AP30),$AN30,$AN32)</f>
        <v>Portugal</v>
      </c>
      <c r="AR32" s="1">
        <f>VLOOKUP($AQ32,$X29:$AF32,9,FALSE)</f>
        <v>0</v>
      </c>
      <c r="AS32" s="1">
        <f>VLOOKUP($AQ32,$X29:$AF32,8,FALSE)</f>
        <v>0</v>
      </c>
      <c r="AT32" s="1" t="str">
        <f>IF(AND($AR29=$AR32,$AS32&gt;$AS29),$AQ29,$AQ32)</f>
        <v>Portugal</v>
      </c>
      <c r="AU32" s="1">
        <f>VLOOKUP($AT32,$X29:$AF32,9,FALSE)</f>
        <v>0</v>
      </c>
      <c r="AV32" s="1">
        <f>VLOOKUP($AT32,$X29:$AF32,8,FALSE)</f>
        <v>0</v>
      </c>
      <c r="AW32" s="1">
        <f>VLOOKUP($AT32,$X29:$AF32,6,FALSE)</f>
        <v>0</v>
      </c>
      <c r="AX32" s="1" t="str">
        <f>IF(AND($AU31=$AU32,$AV31=$AV32,$AW32&gt;$AW31),$AT31,$AT32)</f>
        <v>Portugal</v>
      </c>
      <c r="AY32" s="1">
        <f>VLOOKUP($AX32,$X29:$AF32,9,FALSE)</f>
        <v>0</v>
      </c>
      <c r="AZ32" s="1">
        <f>VLOOKUP($AX32,$X29:$AF32,8,FALSE)</f>
        <v>0</v>
      </c>
      <c r="BA32" s="1">
        <f>VLOOKUP($AX32,$X29:$AF32,6,FALSE)</f>
        <v>0</v>
      </c>
      <c r="BB32" s="1" t="str">
        <f>IF(AND($AY30=$AY32,$AZ30=$AZ32,$BA32&gt;$BA30),$AX30,$AX32)</f>
        <v>Portugal</v>
      </c>
      <c r="BC32" s="1">
        <f>VLOOKUP($BB32,$X29:$AF32,9,FALSE)</f>
        <v>0</v>
      </c>
      <c r="BD32" s="1">
        <f>VLOOKUP($BB32,$X29:$AF32,8,FALSE)</f>
        <v>0</v>
      </c>
      <c r="BE32" s="1">
        <f>VLOOKUP($BB32,$X29:$AF32,6,FALSE)</f>
        <v>0</v>
      </c>
      <c r="BF32" s="1" t="str">
        <f>IF(AND($BC29=$BC32,$BD29=$BD32,$BE32&gt;$BE29),$BB29,$BB32)</f>
        <v>Portugal</v>
      </c>
      <c r="BG32" s="1">
        <f>VLOOKUP($BF32,$X29:$AF32,9,FALSE)</f>
        <v>0</v>
      </c>
      <c r="BH32" s="1">
        <f>VLOOKUP($BF32,$X29:$AF32,8,FALSE)</f>
        <v>0</v>
      </c>
      <c r="BI32" s="1">
        <f>VLOOKUP($BF32,$X29:$AF32,6,FALSE)</f>
        <v>0</v>
      </c>
      <c r="BM32" s="1" t="str">
        <f>BF32</f>
        <v>Portugal</v>
      </c>
      <c r="BN32" s="1">
        <f>VLOOKUP($BM32,$X29:$AF32,2,FALSE)</f>
        <v>0</v>
      </c>
      <c r="BO32" s="1">
        <f>VLOOKUP($BM32,$X29:$AF32,3,FALSE)</f>
        <v>0</v>
      </c>
      <c r="BP32" s="1">
        <f>VLOOKUP($BM32,$X29:$AF32,4,FALSE)</f>
        <v>0</v>
      </c>
      <c r="BQ32" s="1">
        <f>VLOOKUP($BM32,$X29:$AF32,5,FALSE)</f>
        <v>0</v>
      </c>
      <c r="BR32" s="1">
        <f>VLOOKUP($BM32,$X29:$AF32,6,FALSE)</f>
        <v>0</v>
      </c>
      <c r="BS32" s="1">
        <f>VLOOKUP($BM32,$X29:$AF32,7,FALSE)</f>
        <v>0</v>
      </c>
      <c r="BT32" s="1">
        <f>VLOOKUP($BM32,$X29:$AF32,8,FALSE)</f>
        <v>0</v>
      </c>
      <c r="BU32" s="1">
        <f>VLOOKUP($BM32,$X29:$AF32,9,FALSE)</f>
        <v>0</v>
      </c>
    </row>
    <row r="33" spans="2:12" ht="12.75" thickBot="1">
      <c r="B33" s="10">
        <v>39965</v>
      </c>
      <c r="C33" s="11">
        <v>0.6458333333333334</v>
      </c>
      <c r="D33" s="11">
        <f t="shared" si="3"/>
        <v>0.31250000000000006</v>
      </c>
      <c r="E33" s="28" t="s">
        <v>99</v>
      </c>
      <c r="F33" s="13"/>
      <c r="G33" s="14"/>
      <c r="H33" s="12" t="s">
        <v>97</v>
      </c>
      <c r="I33" s="15" t="s">
        <v>62</v>
      </c>
      <c r="J33" s="16" t="s">
        <v>53</v>
      </c>
      <c r="K33" s="1">
        <f>IF(F33&lt;&gt;"",IF(F33&gt;G33,E33,IF(G33&gt;F33,H33,"Draw")),"")</f>
      </c>
      <c r="L33" s="1">
        <f>IF(F33&lt;&gt;"",IF(F33&lt;G33,E33,IF(G33&lt;F33,H33,"Draw")),"")</f>
      </c>
    </row>
    <row r="34" spans="2:22" ht="16.5" thickBot="1">
      <c r="B34" s="10">
        <v>39965</v>
      </c>
      <c r="C34" s="11">
        <v>0.75</v>
      </c>
      <c r="D34" s="11">
        <f t="shared" si="3"/>
        <v>0.4166666666666667</v>
      </c>
      <c r="E34" s="28" t="s">
        <v>84</v>
      </c>
      <c r="F34" s="13"/>
      <c r="G34" s="14"/>
      <c r="H34" s="12" t="s">
        <v>82</v>
      </c>
      <c r="I34" s="15" t="s">
        <v>61</v>
      </c>
      <c r="J34" s="16" t="s">
        <v>32</v>
      </c>
      <c r="K34" s="1">
        <f aca="true" t="shared" si="7" ref="K34:K50">IF(F34&lt;&gt;"",IF(F34&gt;G34,E34,IF(G34&gt;F34,H34,"Draw")),"")</f>
      </c>
      <c r="L34" s="1">
        <f aca="true" t="shared" si="8" ref="L34:L50">IF(F34&lt;&gt;"",IF(F34&lt;G34,E34,IF(G34&lt;F34,H34,"Draw")),"")</f>
      </c>
      <c r="N34" s="2" t="s">
        <v>70</v>
      </c>
      <c r="O34" s="3"/>
      <c r="P34" s="3"/>
      <c r="Q34" s="3"/>
      <c r="R34" s="3"/>
      <c r="S34" s="3"/>
      <c r="T34" s="3"/>
      <c r="U34" s="3"/>
      <c r="V34" s="4"/>
    </row>
    <row r="35" spans="2:22" ht="12.75" thickBot="1">
      <c r="B35" s="10">
        <v>39965</v>
      </c>
      <c r="C35" s="11">
        <v>0.8541666666666666</v>
      </c>
      <c r="D35" s="11">
        <f t="shared" si="3"/>
        <v>0.5208333333333333</v>
      </c>
      <c r="E35" s="28" t="s">
        <v>55</v>
      </c>
      <c r="F35" s="13"/>
      <c r="G35" s="14"/>
      <c r="H35" s="12" t="s">
        <v>101</v>
      </c>
      <c r="I35" s="15" t="s">
        <v>63</v>
      </c>
      <c r="J35" s="16" t="s">
        <v>54</v>
      </c>
      <c r="K35" s="1">
        <f t="shared" si="7"/>
      </c>
      <c r="L35" s="1">
        <f t="shared" si="8"/>
      </c>
      <c r="N35" s="7"/>
      <c r="O35" s="8" t="s">
        <v>18</v>
      </c>
      <c r="P35" s="8" t="s">
        <v>19</v>
      </c>
      <c r="Q35" s="8" t="s">
        <v>20</v>
      </c>
      <c r="R35" s="8" t="s">
        <v>21</v>
      </c>
      <c r="S35" s="8" t="s">
        <v>22</v>
      </c>
      <c r="T35" s="8" t="s">
        <v>23</v>
      </c>
      <c r="U35" s="8" t="s">
        <v>24</v>
      </c>
      <c r="V35" s="9" t="s">
        <v>25</v>
      </c>
    </row>
    <row r="36" spans="2:24" ht="12.75" thickBot="1">
      <c r="B36" s="10">
        <v>40330</v>
      </c>
      <c r="C36" s="11">
        <v>0.6458333333333334</v>
      </c>
      <c r="D36" s="11">
        <f t="shared" si="3"/>
        <v>0.31250000000000006</v>
      </c>
      <c r="E36" s="28" t="s">
        <v>52</v>
      </c>
      <c r="F36" s="13"/>
      <c r="G36" s="14"/>
      <c r="H36" s="12" t="s">
        <v>86</v>
      </c>
      <c r="I36" s="15" t="s">
        <v>58</v>
      </c>
      <c r="J36" s="16" t="s">
        <v>21</v>
      </c>
      <c r="K36" s="1">
        <f t="shared" si="7"/>
      </c>
      <c r="L36" s="1">
        <f t="shared" si="8"/>
      </c>
      <c r="N36" s="17" t="str">
        <f aca="true" t="shared" si="9" ref="N36:V39">BM38</f>
        <v>Germany</v>
      </c>
      <c r="O36" s="18">
        <f t="shared" si="9"/>
        <v>0</v>
      </c>
      <c r="P36" s="18">
        <f t="shared" si="9"/>
        <v>0</v>
      </c>
      <c r="Q36" s="18">
        <f t="shared" si="9"/>
        <v>0</v>
      </c>
      <c r="R36" s="18">
        <f t="shared" si="9"/>
        <v>0</v>
      </c>
      <c r="S36" s="18">
        <f t="shared" si="9"/>
        <v>0</v>
      </c>
      <c r="T36" s="18">
        <f t="shared" si="9"/>
        <v>0</v>
      </c>
      <c r="U36" s="18">
        <f t="shared" si="9"/>
        <v>0</v>
      </c>
      <c r="V36" s="19">
        <f t="shared" si="9"/>
        <v>0</v>
      </c>
      <c r="X36" s="1" t="s">
        <v>70</v>
      </c>
    </row>
    <row r="37" spans="2:73" ht="12.75" thickBot="1">
      <c r="B37" s="10">
        <v>40330</v>
      </c>
      <c r="C37" s="11">
        <v>0.75</v>
      </c>
      <c r="D37" s="11">
        <f t="shared" si="3"/>
        <v>0.4166666666666667</v>
      </c>
      <c r="E37" s="28" t="s">
        <v>102</v>
      </c>
      <c r="F37" s="13"/>
      <c r="G37" s="14"/>
      <c r="H37" s="12" t="s">
        <v>100</v>
      </c>
      <c r="I37" s="15" t="s">
        <v>64</v>
      </c>
      <c r="J37" s="16" t="s">
        <v>54</v>
      </c>
      <c r="K37" s="1">
        <f t="shared" si="7"/>
      </c>
      <c r="L37" s="1">
        <f t="shared" si="8"/>
      </c>
      <c r="N37" s="17" t="str">
        <f t="shared" si="9"/>
        <v>Saudi Arabia</v>
      </c>
      <c r="O37" s="18">
        <f t="shared" si="9"/>
        <v>0</v>
      </c>
      <c r="P37" s="18">
        <f t="shared" si="9"/>
        <v>0</v>
      </c>
      <c r="Q37" s="18">
        <f t="shared" si="9"/>
        <v>0</v>
      </c>
      <c r="R37" s="18">
        <f t="shared" si="9"/>
        <v>0</v>
      </c>
      <c r="S37" s="18">
        <f t="shared" si="9"/>
        <v>0</v>
      </c>
      <c r="T37" s="18">
        <f t="shared" si="9"/>
        <v>0</v>
      </c>
      <c r="U37" s="18">
        <f t="shared" si="9"/>
        <v>0</v>
      </c>
      <c r="V37" s="19">
        <f t="shared" si="9"/>
        <v>0</v>
      </c>
      <c r="Y37" s="1" t="s">
        <v>27</v>
      </c>
      <c r="Z37" s="1" t="s">
        <v>19</v>
      </c>
      <c r="AA37" s="1" t="s">
        <v>20</v>
      </c>
      <c r="AB37" s="1" t="s">
        <v>21</v>
      </c>
      <c r="AC37" s="1" t="s">
        <v>22</v>
      </c>
      <c r="AD37" s="1" t="s">
        <v>23</v>
      </c>
      <c r="AE37" s="1" t="s">
        <v>24</v>
      </c>
      <c r="AF37" s="1" t="s">
        <v>28</v>
      </c>
      <c r="AG37" s="1" t="s">
        <v>29</v>
      </c>
      <c r="AH37" s="26" t="s">
        <v>28</v>
      </c>
      <c r="AI37" s="1" t="s">
        <v>29</v>
      </c>
      <c r="AJ37" s="26" t="s">
        <v>28</v>
      </c>
      <c r="AK37" s="1" t="s">
        <v>29</v>
      </c>
      <c r="AL37" s="26" t="s">
        <v>28</v>
      </c>
      <c r="AM37" s="26" t="s">
        <v>24</v>
      </c>
      <c r="AN37" s="1" t="s">
        <v>29</v>
      </c>
      <c r="AO37" s="1" t="s">
        <v>28</v>
      </c>
      <c r="AP37" s="26" t="s">
        <v>24</v>
      </c>
      <c r="AQ37" s="1" t="s">
        <v>29</v>
      </c>
      <c r="AR37" s="1" t="s">
        <v>28</v>
      </c>
      <c r="AS37" s="26" t="s">
        <v>24</v>
      </c>
      <c r="AT37" s="1" t="s">
        <v>29</v>
      </c>
      <c r="AU37" s="1" t="s">
        <v>28</v>
      </c>
      <c r="AV37" s="26" t="s">
        <v>24</v>
      </c>
      <c r="AW37" s="26" t="s">
        <v>22</v>
      </c>
      <c r="AX37" s="1" t="s">
        <v>29</v>
      </c>
      <c r="AY37" s="1" t="s">
        <v>28</v>
      </c>
      <c r="AZ37" s="26" t="s">
        <v>24</v>
      </c>
      <c r="BA37" s="26" t="s">
        <v>22</v>
      </c>
      <c r="BB37" s="1" t="s">
        <v>29</v>
      </c>
      <c r="BC37" s="1" t="s">
        <v>28</v>
      </c>
      <c r="BD37" s="26" t="s">
        <v>24</v>
      </c>
      <c r="BE37" s="26" t="s">
        <v>22</v>
      </c>
      <c r="BF37" s="1" t="s">
        <v>29</v>
      </c>
      <c r="BG37" s="26" t="s">
        <v>28</v>
      </c>
      <c r="BH37" s="26" t="s">
        <v>24</v>
      </c>
      <c r="BI37" s="26" t="s">
        <v>22</v>
      </c>
      <c r="BN37" s="26" t="s">
        <v>18</v>
      </c>
      <c r="BO37" s="26" t="s">
        <v>19</v>
      </c>
      <c r="BP37" s="26" t="s">
        <v>20</v>
      </c>
      <c r="BQ37" s="26" t="s">
        <v>21</v>
      </c>
      <c r="BR37" s="26" t="s">
        <v>22</v>
      </c>
      <c r="BS37" s="26" t="s">
        <v>23</v>
      </c>
      <c r="BT37" s="26" t="s">
        <v>24</v>
      </c>
      <c r="BU37" s="26" t="s">
        <v>28</v>
      </c>
    </row>
    <row r="38" spans="2:73" ht="12.75" thickBot="1">
      <c r="B38" s="10">
        <v>40330</v>
      </c>
      <c r="C38" s="11">
        <v>0.8541666666666666</v>
      </c>
      <c r="D38" s="11">
        <f t="shared" si="3"/>
        <v>0.5208333333333333</v>
      </c>
      <c r="E38" s="28" t="s">
        <v>87</v>
      </c>
      <c r="F38" s="13"/>
      <c r="G38" s="14"/>
      <c r="H38" s="12" t="s">
        <v>85</v>
      </c>
      <c r="I38" s="15" t="s">
        <v>59</v>
      </c>
      <c r="J38" s="16" t="s">
        <v>21</v>
      </c>
      <c r="K38" s="1">
        <f t="shared" si="7"/>
      </c>
      <c r="L38" s="1">
        <f t="shared" si="8"/>
      </c>
      <c r="N38" s="17" t="str">
        <f t="shared" si="9"/>
        <v>Ireland</v>
      </c>
      <c r="O38" s="18">
        <f t="shared" si="9"/>
        <v>0</v>
      </c>
      <c r="P38" s="18">
        <f t="shared" si="9"/>
        <v>0</v>
      </c>
      <c r="Q38" s="18">
        <f t="shared" si="9"/>
        <v>0</v>
      </c>
      <c r="R38" s="18">
        <f t="shared" si="9"/>
        <v>0</v>
      </c>
      <c r="S38" s="18">
        <f t="shared" si="9"/>
        <v>0</v>
      </c>
      <c r="T38" s="18">
        <f t="shared" si="9"/>
        <v>0</v>
      </c>
      <c r="U38" s="18">
        <f t="shared" si="9"/>
        <v>0</v>
      </c>
      <c r="V38" s="19">
        <f t="shared" si="9"/>
        <v>0</v>
      </c>
      <c r="X38" s="1" t="s">
        <v>88</v>
      </c>
      <c r="Y38" s="1">
        <f>COUNT(Germany_Played)</f>
        <v>0</v>
      </c>
      <c r="Z38" s="1">
        <f>COUNTIF(Groupstage_Winners,"Germany")</f>
        <v>0</v>
      </c>
      <c r="AA38" s="1">
        <f>COUNTIF(Groupstage_Losers,"Germany")</f>
        <v>0</v>
      </c>
      <c r="AB38" s="1">
        <f>Y38-(Z38+AA38)</f>
        <v>0</v>
      </c>
      <c r="AC38" s="1">
        <f>SUM(Germany_Played)</f>
        <v>0</v>
      </c>
      <c r="AD38" s="1">
        <f>SUM(Germany_Against)</f>
        <v>0</v>
      </c>
      <c r="AE38" s="1">
        <f>AC38-AD38</f>
        <v>0</v>
      </c>
      <c r="AF38" s="1">
        <f>Z38*Winpoints+AB38*Drawpoints</f>
        <v>0</v>
      </c>
      <c r="AG38" s="1" t="str">
        <f>IF($AF38&gt;=$AF39,$X38,$X39)</f>
        <v>Germany</v>
      </c>
      <c r="AH38" s="1">
        <f>VLOOKUP($AG38,$X38:$AF41,9,FALSE)</f>
        <v>0</v>
      </c>
      <c r="AI38" s="1" t="str">
        <f>IF($AH38&gt;=$AH40,$AG38,$AG40)</f>
        <v>Germany</v>
      </c>
      <c r="AJ38" s="1">
        <f>VLOOKUP($AI38,$X38:$AF41,9,FALSE)</f>
        <v>0</v>
      </c>
      <c r="AK38" s="1" t="str">
        <f>IF($AJ38&gt;=$AJ41,$AI38,$AI41)</f>
        <v>Germany</v>
      </c>
      <c r="AL38" s="1">
        <f>VLOOKUP($AK38,$X38:$AF41,9,FALSE)</f>
        <v>0</v>
      </c>
      <c r="AM38" s="1">
        <f>VLOOKUP($AK38,$X38:$AF41,8,FALSE)</f>
        <v>0</v>
      </c>
      <c r="AN38" s="1" t="str">
        <f>IF(AND($AL38=$AL39,$AM39&gt;$AM38),$AK39,$AK38)</f>
        <v>Germany</v>
      </c>
      <c r="AO38" s="1">
        <f>VLOOKUP($AN38,$X38:$AF41,9,FALSE)</f>
        <v>0</v>
      </c>
      <c r="AP38" s="1">
        <f>VLOOKUP($AN38,$X38:$AF41,8,FALSE)</f>
        <v>0</v>
      </c>
      <c r="AQ38" s="1" t="str">
        <f>IF(AND($AO38=$AO40,$AP40&gt;$AP38),$AN40,$AN38)</f>
        <v>Germany</v>
      </c>
      <c r="AR38" s="1">
        <f>VLOOKUP($AQ38,$X38:$AF41,9,FALSE)</f>
        <v>0</v>
      </c>
      <c r="AS38" s="1">
        <f>VLOOKUP($AQ38,$X38:$AF41,8,FALSE)</f>
        <v>0</v>
      </c>
      <c r="AT38" s="1" t="str">
        <f>IF(AND($AR38=$AR41,$AS41&gt;$AS38),$AQ41,$AQ38)</f>
        <v>Germany</v>
      </c>
      <c r="AU38" s="1">
        <f>VLOOKUP($AT38,$X38:$AF41,9,FALSE)</f>
        <v>0</v>
      </c>
      <c r="AV38" s="1">
        <f>VLOOKUP($AT38,$X38:$AF41,8,FALSE)</f>
        <v>0</v>
      </c>
      <c r="AW38" s="1">
        <f>VLOOKUP($AT38,$X38:$AF41,6,FALSE)</f>
        <v>0</v>
      </c>
      <c r="AX38" s="1" t="str">
        <f>IF(AND($AU38=$AU39,$AV38=$AV39,$AW39&gt;$AW38),$AT39,$AT38)</f>
        <v>Germany</v>
      </c>
      <c r="AY38" s="1">
        <f>VLOOKUP($AX38,$X38:$AF41,9,FALSE)</f>
        <v>0</v>
      </c>
      <c r="AZ38" s="1">
        <f>VLOOKUP($AX38,$X38:$AF41,8,FALSE)</f>
        <v>0</v>
      </c>
      <c r="BA38" s="1">
        <f>VLOOKUP($AX38,$X38:$AF41,6,FALSE)</f>
        <v>0</v>
      </c>
      <c r="BB38" s="1" t="str">
        <f>IF(AND($AY38=$AY40,$AZ38=$AZ40,$BA40&gt;$BA38),$AX40,$AX38)</f>
        <v>Germany</v>
      </c>
      <c r="BC38" s="1">
        <f>VLOOKUP($BB38,$X38:$AF41,9,FALSE)</f>
        <v>0</v>
      </c>
      <c r="BD38" s="1">
        <f>VLOOKUP($BB38,$X38:$AF41,8,FALSE)</f>
        <v>0</v>
      </c>
      <c r="BE38" s="1">
        <f>VLOOKUP($BB38,$X38:$AF41,6,FALSE)</f>
        <v>0</v>
      </c>
      <c r="BF38" s="1" t="str">
        <f>IF(AND($BC38=$BC41,$BD38=$BD41,$BE41&gt;$BE38),$BB41,$BB38)</f>
        <v>Germany</v>
      </c>
      <c r="BG38" s="1">
        <f>VLOOKUP($BF38,$X38:$AF41,9,FALSE)</f>
        <v>0</v>
      </c>
      <c r="BH38" s="1">
        <f>VLOOKUP($BF38,$X38:$AF41,8,FALSE)</f>
        <v>0</v>
      </c>
      <c r="BI38" s="1">
        <f>VLOOKUP($BF38,$X38:$AF41,6,FALSE)</f>
        <v>0</v>
      </c>
      <c r="BM38" s="1" t="str">
        <f>BF38</f>
        <v>Germany</v>
      </c>
      <c r="BN38" s="1">
        <f>VLOOKUP($BM38,$X38:$AF41,2,FALSE)</f>
        <v>0</v>
      </c>
      <c r="BO38" s="1">
        <f>VLOOKUP($BM38,$X38:$AF41,3,FALSE)</f>
        <v>0</v>
      </c>
      <c r="BP38" s="1">
        <f>VLOOKUP($BM38,$X38:$AF41,4,FALSE)</f>
        <v>0</v>
      </c>
      <c r="BQ38" s="1">
        <f>VLOOKUP($BM38,$X38:$AF41,5,FALSE)</f>
        <v>0</v>
      </c>
      <c r="BR38" s="1">
        <f>VLOOKUP($BM38,$X38:$AF41,6,FALSE)</f>
        <v>0</v>
      </c>
      <c r="BS38" s="1">
        <f>VLOOKUP($BM38,$X38:$AF41,7,FALSE)</f>
        <v>0</v>
      </c>
      <c r="BT38" s="1">
        <f>VLOOKUP($BM38,$X38:$AF41,8,FALSE)</f>
        <v>0</v>
      </c>
      <c r="BU38" s="1">
        <f>VLOOKUP($BM38,$X38:$AF41,9,FALSE)</f>
        <v>0</v>
      </c>
    </row>
    <row r="39" spans="2:73" ht="12.75" thickBot="1">
      <c r="B39" s="10">
        <v>40695</v>
      </c>
      <c r="C39" s="11">
        <v>0.6458333333333334</v>
      </c>
      <c r="D39" s="11">
        <f t="shared" si="3"/>
        <v>0.31250000000000006</v>
      </c>
      <c r="E39" s="28" t="s">
        <v>74</v>
      </c>
      <c r="F39" s="13"/>
      <c r="G39" s="14"/>
      <c r="H39" s="12" t="s">
        <v>75</v>
      </c>
      <c r="I39" s="15" t="s">
        <v>57</v>
      </c>
      <c r="J39" s="16" t="s">
        <v>23</v>
      </c>
      <c r="K39" s="1">
        <f t="shared" si="7"/>
      </c>
      <c r="L39" s="1">
        <f t="shared" si="8"/>
      </c>
      <c r="N39" s="20" t="str">
        <f t="shared" si="9"/>
        <v>Cameroon</v>
      </c>
      <c r="O39" s="21">
        <f t="shared" si="9"/>
        <v>0</v>
      </c>
      <c r="P39" s="21">
        <f t="shared" si="9"/>
        <v>0</v>
      </c>
      <c r="Q39" s="21">
        <f t="shared" si="9"/>
        <v>0</v>
      </c>
      <c r="R39" s="21">
        <f t="shared" si="9"/>
        <v>0</v>
      </c>
      <c r="S39" s="21">
        <f t="shared" si="9"/>
        <v>0</v>
      </c>
      <c r="T39" s="21">
        <f t="shared" si="9"/>
        <v>0</v>
      </c>
      <c r="U39" s="21">
        <f t="shared" si="9"/>
        <v>0</v>
      </c>
      <c r="V39" s="22">
        <f t="shared" si="9"/>
        <v>0</v>
      </c>
      <c r="X39" s="1" t="s">
        <v>89</v>
      </c>
      <c r="Y39" s="1">
        <f>COUNT(Saudi_Arabia_Played)</f>
        <v>0</v>
      </c>
      <c r="Z39" s="1">
        <f>COUNTIF(Groupstage_Winners,"Saudi Arabia")</f>
        <v>0</v>
      </c>
      <c r="AA39" s="1">
        <f>COUNTIF(Groupstage_Losers,"Saudi Arabia")</f>
        <v>0</v>
      </c>
      <c r="AB39" s="1">
        <f>Y39-(Z39+AA39)</f>
        <v>0</v>
      </c>
      <c r="AC39" s="1">
        <f>SUM(Saudi_Arabia_Played)</f>
        <v>0</v>
      </c>
      <c r="AD39" s="1">
        <f>SUM(Saudi_Arabia_Against)</f>
        <v>0</v>
      </c>
      <c r="AE39" s="1">
        <f>AC39-AD39</f>
        <v>0</v>
      </c>
      <c r="AF39" s="1">
        <f>Z39*Winpoints+AB39*Drawpoints</f>
        <v>0</v>
      </c>
      <c r="AG39" s="1" t="str">
        <f>IF($AF39&lt;=$AF38,$X39,$X38)</f>
        <v>Saudi Arabia</v>
      </c>
      <c r="AH39" s="1">
        <f>VLOOKUP($AG39,$X38:$AF41,9,FALSE)</f>
        <v>0</v>
      </c>
      <c r="AI39" s="1" t="str">
        <f>IF(AH39&gt;=AH41,AG39,AG41)</f>
        <v>Saudi Arabia</v>
      </c>
      <c r="AJ39" s="1">
        <f>VLOOKUP($AI39,$X38:$AF41,9,FALSE)</f>
        <v>0</v>
      </c>
      <c r="AK39" s="1" t="str">
        <f>IF($AJ39&gt;=$AJ40,$AI39,$AI40)</f>
        <v>Saudi Arabia</v>
      </c>
      <c r="AL39" s="1">
        <f>VLOOKUP($AK39,$X38:$AF41,9,FALSE)</f>
        <v>0</v>
      </c>
      <c r="AM39" s="1">
        <f>VLOOKUP($AK39,$X38:$AF41,8,FALSE)</f>
        <v>0</v>
      </c>
      <c r="AN39" s="1" t="str">
        <f>IF(AND($AL38=$AL39,$AM39&gt;$AM38),$AK38,$AK39)</f>
        <v>Saudi Arabia</v>
      </c>
      <c r="AO39" s="1">
        <f>VLOOKUP($AN39,$X38:$AF41,9,FALSE)</f>
        <v>0</v>
      </c>
      <c r="AP39" s="1">
        <f>VLOOKUP($AN39,$X38:$AF41,8,FALSE)</f>
        <v>0</v>
      </c>
      <c r="AQ39" s="1" t="str">
        <f>IF(AND($AO39=$AO41,$AP41&gt;$AP39),$AN41,$AN39)</f>
        <v>Saudi Arabia</v>
      </c>
      <c r="AR39" s="1">
        <f>VLOOKUP($AQ39,$X38:$AF41,9,FALSE)</f>
        <v>0</v>
      </c>
      <c r="AS39" s="1">
        <f>VLOOKUP($AQ39,$X38:$AF41,8,FALSE)</f>
        <v>0</v>
      </c>
      <c r="AT39" s="1" t="str">
        <f>IF(AND($AR39=$AR40,$AS40&gt;$AS39),$AQ40,$AQ39)</f>
        <v>Saudi Arabia</v>
      </c>
      <c r="AU39" s="1">
        <f>VLOOKUP($AT39,$X38:$AF41,9,FALSE)</f>
        <v>0</v>
      </c>
      <c r="AV39" s="1">
        <f>VLOOKUP($AT39,$X38:$AF41,8,FALSE)</f>
        <v>0</v>
      </c>
      <c r="AW39" s="1">
        <f>VLOOKUP($AT39,$X38:$AF41,6,FALSE)</f>
        <v>0</v>
      </c>
      <c r="AX39" s="1" t="str">
        <f>IF(AND($AU38=$AU39,$AV38=$AV39,$AW39&gt;$AW38),$AT38,$AT39)</f>
        <v>Saudi Arabia</v>
      </c>
      <c r="AY39" s="1">
        <f>VLOOKUP($AX39,$X38:$AF41,9,FALSE)</f>
        <v>0</v>
      </c>
      <c r="AZ39" s="1">
        <f>VLOOKUP($AX39,$X38:$AF41,8,FALSE)</f>
        <v>0</v>
      </c>
      <c r="BA39" s="1">
        <f>VLOOKUP($AX39,$X38:$AF41,6,FALSE)</f>
        <v>0</v>
      </c>
      <c r="BB39" s="1" t="str">
        <f>IF(AND($AY39=$AY41,$AZ39=$AZ41,$BA41&gt;$BA39),$AX41,$AX39)</f>
        <v>Saudi Arabia</v>
      </c>
      <c r="BC39" s="1">
        <f>VLOOKUP($BB39,$X38:$AF41,9,FALSE)</f>
        <v>0</v>
      </c>
      <c r="BD39" s="1">
        <f>VLOOKUP($BB39,$X38:$AF41,8,FALSE)</f>
        <v>0</v>
      </c>
      <c r="BE39" s="1">
        <f>VLOOKUP($BB39,$X38:$AF41,6,FALSE)</f>
        <v>0</v>
      </c>
      <c r="BF39" s="1" t="str">
        <f>IF(AND($BC39=$BC40,$BD39=$BD40,$BE40&gt;$BE39),$BB40,$BB39)</f>
        <v>Saudi Arabia</v>
      </c>
      <c r="BG39" s="1">
        <f>VLOOKUP($BF39,$X38:$AF41,9,FALSE)</f>
        <v>0</v>
      </c>
      <c r="BH39" s="1">
        <f>VLOOKUP($BF39,$X38:$AF41,8,FALSE)</f>
        <v>0</v>
      </c>
      <c r="BI39" s="1">
        <f>VLOOKUP($BF39,$X38:$AF41,6,FALSE)</f>
        <v>0</v>
      </c>
      <c r="BM39" s="1" t="str">
        <f>BF39</f>
        <v>Saudi Arabia</v>
      </c>
      <c r="BN39" s="1">
        <f>VLOOKUP($BM39,$X38:$AF41,2,FALSE)</f>
        <v>0</v>
      </c>
      <c r="BO39" s="1">
        <f>VLOOKUP($BM39,$X38:$AF41,3,FALSE)</f>
        <v>0</v>
      </c>
      <c r="BP39" s="1">
        <f>VLOOKUP($BM39,$X38:$AF41,4,FALSE)</f>
        <v>0</v>
      </c>
      <c r="BQ39" s="1">
        <f>VLOOKUP($BM39,$X38:$AF41,5,FALSE)</f>
        <v>0</v>
      </c>
      <c r="BR39" s="1">
        <f>VLOOKUP($BM39,$X38:$AF41,6,FALSE)</f>
        <v>0</v>
      </c>
      <c r="BS39" s="1">
        <f>VLOOKUP($BM39,$X38:$AF41,7,FALSE)</f>
        <v>0</v>
      </c>
      <c r="BT39" s="1">
        <f>VLOOKUP($BM39,$X38:$AF41,8,FALSE)</f>
        <v>0</v>
      </c>
      <c r="BU39" s="1">
        <f>VLOOKUP($BM39,$X38:$AF41,9,FALSE)</f>
        <v>0</v>
      </c>
    </row>
    <row r="40" spans="2:73" ht="12.75" thickBot="1">
      <c r="B40" s="10">
        <v>40695</v>
      </c>
      <c r="C40" s="11">
        <v>0.6458333333333334</v>
      </c>
      <c r="D40" s="11">
        <f t="shared" si="3"/>
        <v>0.31250000000000006</v>
      </c>
      <c r="E40" s="28" t="s">
        <v>76</v>
      </c>
      <c r="F40" s="13"/>
      <c r="G40" s="14"/>
      <c r="H40" s="12" t="s">
        <v>30</v>
      </c>
      <c r="I40" s="15" t="s">
        <v>61</v>
      </c>
      <c r="J40" s="16" t="s">
        <v>23</v>
      </c>
      <c r="K40" s="1">
        <f t="shared" si="7"/>
      </c>
      <c r="L40" s="1">
        <f t="shared" si="8"/>
      </c>
      <c r="X40" s="1" t="s">
        <v>90</v>
      </c>
      <c r="Y40" s="1">
        <f>COUNT(Ireland_Played)</f>
        <v>0</v>
      </c>
      <c r="Z40" s="1">
        <f>COUNTIF(Groupstage_Winners,"Ireland")</f>
        <v>0</v>
      </c>
      <c r="AA40" s="1">
        <f>COUNTIF(Groupstage_Losers,"Ireland")</f>
        <v>0</v>
      </c>
      <c r="AB40" s="1">
        <f>Y40-(Z40+AA40)</f>
        <v>0</v>
      </c>
      <c r="AC40" s="1">
        <f>SUM(Ireland_Played)</f>
        <v>0</v>
      </c>
      <c r="AD40" s="1">
        <f>SUM(Ireland_Against)</f>
        <v>0</v>
      </c>
      <c r="AE40" s="1">
        <f>AC40-AD40</f>
        <v>0</v>
      </c>
      <c r="AF40" s="1">
        <f>Z40*Winpoints+AB40*Drawpoints</f>
        <v>0</v>
      </c>
      <c r="AG40" s="1" t="str">
        <f>IF($AF40&gt;=$AF41,$X40,$X41)</f>
        <v>Ireland</v>
      </c>
      <c r="AH40" s="1">
        <f>VLOOKUP($AG40,$X38:$AF41,9,FALSE)</f>
        <v>0</v>
      </c>
      <c r="AI40" s="1" t="str">
        <f>IF($AH40&lt;=$AH38,$AG40,$AG38)</f>
        <v>Ireland</v>
      </c>
      <c r="AJ40" s="1">
        <f>VLOOKUP($AI40,$X38:$AF41,9,FALSE)</f>
        <v>0</v>
      </c>
      <c r="AK40" s="1" t="str">
        <f>IF($AJ40&lt;=$AJ39,$AI40,$AI39)</f>
        <v>Ireland</v>
      </c>
      <c r="AL40" s="1">
        <f>VLOOKUP($AK40,$X38:$AF41,9,FALSE)</f>
        <v>0</v>
      </c>
      <c r="AM40" s="1">
        <f>VLOOKUP($AK40,$X38:$AF41,8,FALSE)</f>
        <v>0</v>
      </c>
      <c r="AN40" s="1" t="str">
        <f>IF(AND($AL40=$AL41,$AM41&gt;$AM40),$AK41,$AK40)</f>
        <v>Ireland</v>
      </c>
      <c r="AO40" s="1">
        <f>VLOOKUP($AN40,$X38:$AF41,9,FALSE)</f>
        <v>0</v>
      </c>
      <c r="AP40" s="1">
        <f>VLOOKUP($AN40,$X38:$AF41,8,FALSE)</f>
        <v>0</v>
      </c>
      <c r="AQ40" s="1" t="str">
        <f>IF(AND($AO38=$AO40,$AP40&gt;$AP38),$AN38,$AN40)</f>
        <v>Ireland</v>
      </c>
      <c r="AR40" s="1">
        <f>VLOOKUP($AQ40,$X38:$AF41,9,FALSE)</f>
        <v>0</v>
      </c>
      <c r="AS40" s="1">
        <f>VLOOKUP($AQ40,$X38:$AF41,8,FALSE)</f>
        <v>0</v>
      </c>
      <c r="AT40" s="1" t="str">
        <f>IF(AND($AR39=$AR40,$AS40&gt;$AS39),$AQ39,$AQ40)</f>
        <v>Ireland</v>
      </c>
      <c r="AU40" s="1">
        <f>VLOOKUP($AT40,$X38:$AF41,9,FALSE)</f>
        <v>0</v>
      </c>
      <c r="AV40" s="1">
        <f>VLOOKUP($AT40,$X38:$AF41,8,FALSE)</f>
        <v>0</v>
      </c>
      <c r="AW40" s="1">
        <f>VLOOKUP($AT40,$X38:$AF41,6,FALSE)</f>
        <v>0</v>
      </c>
      <c r="AX40" s="1" t="str">
        <f>IF(AND($AU40=$AU41,$AV40=$AV41,$AW41&gt;$AW40),$AT41,$AT40)</f>
        <v>Ireland</v>
      </c>
      <c r="AY40" s="1">
        <f>VLOOKUP($AX40,$X38:$AF41,9,FALSE)</f>
        <v>0</v>
      </c>
      <c r="AZ40" s="1">
        <f>VLOOKUP($AX40,$X38:$AF41,8,FALSE)</f>
        <v>0</v>
      </c>
      <c r="BA40" s="1">
        <f>VLOOKUP($AX40,$X38:$AF41,6,FALSE)</f>
        <v>0</v>
      </c>
      <c r="BB40" s="1" t="str">
        <f>IF(AND($AY38=$AY40,$AZ38=$AZ40,$BA39&gt;$BA38),$AX38,$AX40)</f>
        <v>Ireland</v>
      </c>
      <c r="BC40" s="1">
        <f>VLOOKUP($BB40,$X38:$AF41,9,FALSE)</f>
        <v>0</v>
      </c>
      <c r="BD40" s="1">
        <f>VLOOKUP($BB40,$X38:$AF41,8,FALSE)</f>
        <v>0</v>
      </c>
      <c r="BE40" s="1">
        <f>VLOOKUP($BB40,$X38:$AF41,6,FALSE)</f>
        <v>0</v>
      </c>
      <c r="BF40" s="1" t="str">
        <f>IF(AND($BC39=$BC40,$BD39=$BD40,$BE40&gt;$BE39),$BB39,$BB40)</f>
        <v>Ireland</v>
      </c>
      <c r="BG40" s="1">
        <f>VLOOKUP($BF40,$X38:$AF41,9,FALSE)</f>
        <v>0</v>
      </c>
      <c r="BH40" s="1">
        <f>VLOOKUP($BF40,$X38:$AF41,8,FALSE)</f>
        <v>0</v>
      </c>
      <c r="BI40" s="1">
        <f>VLOOKUP($BF40,$X38:$AF41,6,FALSE)</f>
        <v>0</v>
      </c>
      <c r="BM40" s="1" t="str">
        <f>BF40</f>
        <v>Ireland</v>
      </c>
      <c r="BN40" s="1">
        <f>VLOOKUP($BM40,$X38:$AF41,2,FALSE)</f>
        <v>0</v>
      </c>
      <c r="BO40" s="1">
        <f>VLOOKUP($BM40,$X38:$AF41,3,FALSE)</f>
        <v>0</v>
      </c>
      <c r="BP40" s="1">
        <f>VLOOKUP($BM40,$X38:$AF41,4,FALSE)</f>
        <v>0</v>
      </c>
      <c r="BQ40" s="1">
        <f>VLOOKUP($BM40,$X38:$AF41,5,FALSE)</f>
        <v>0</v>
      </c>
      <c r="BR40" s="1">
        <f>VLOOKUP($BM40,$X38:$AF41,6,FALSE)</f>
        <v>0</v>
      </c>
      <c r="BS40" s="1">
        <f>VLOOKUP($BM40,$X38:$AF41,7,FALSE)</f>
        <v>0</v>
      </c>
      <c r="BT40" s="1">
        <f>VLOOKUP($BM40,$X38:$AF41,8,FALSE)</f>
        <v>0</v>
      </c>
      <c r="BU40" s="1">
        <f>VLOOKUP($BM40,$X38:$AF41,9,FALSE)</f>
        <v>0</v>
      </c>
    </row>
    <row r="41" spans="2:73" ht="16.5" thickBot="1">
      <c r="B41" s="10">
        <v>40695</v>
      </c>
      <c r="C41" s="11">
        <v>0.8541666666666666</v>
      </c>
      <c r="D41" s="11">
        <f t="shared" si="3"/>
        <v>0.5208333333333333</v>
      </c>
      <c r="E41" s="28" t="s">
        <v>89</v>
      </c>
      <c r="F41" s="13"/>
      <c r="G41" s="14"/>
      <c r="H41" s="12" t="s">
        <v>90</v>
      </c>
      <c r="I41" s="15" t="s">
        <v>63</v>
      </c>
      <c r="J41" s="16" t="s">
        <v>46</v>
      </c>
      <c r="K41" s="1">
        <f t="shared" si="7"/>
      </c>
      <c r="L41" s="1">
        <f t="shared" si="8"/>
      </c>
      <c r="N41" s="2" t="s">
        <v>71</v>
      </c>
      <c r="O41" s="3"/>
      <c r="P41" s="3"/>
      <c r="Q41" s="3"/>
      <c r="R41" s="3"/>
      <c r="S41" s="3"/>
      <c r="T41" s="3"/>
      <c r="U41" s="3"/>
      <c r="V41" s="4"/>
      <c r="X41" s="1" t="s">
        <v>91</v>
      </c>
      <c r="Y41" s="1">
        <f>COUNT(Cameroon_Played)</f>
        <v>0</v>
      </c>
      <c r="Z41" s="1">
        <f>COUNTIF(Groupstage_Winners,"Cameroon")</f>
        <v>0</v>
      </c>
      <c r="AA41" s="1">
        <f>COUNTIF(Groupstage_Losers,"Cameroon")</f>
        <v>0</v>
      </c>
      <c r="AB41" s="1">
        <f>Y41-(Z41+AA41)</f>
        <v>0</v>
      </c>
      <c r="AC41" s="1">
        <f>SUM(Cameroon_Played)</f>
        <v>0</v>
      </c>
      <c r="AD41" s="1">
        <f>SUM(Cameroon_Against)</f>
        <v>0</v>
      </c>
      <c r="AE41" s="1">
        <f>AC41-AD41</f>
        <v>0</v>
      </c>
      <c r="AF41" s="1">
        <f>Z41*Winpoints+AB41*Drawpoints</f>
        <v>0</v>
      </c>
      <c r="AG41" s="1" t="str">
        <f>IF($AF41&lt;=$AF40,$X41,$X40)</f>
        <v>Cameroon</v>
      </c>
      <c r="AH41" s="1">
        <f>VLOOKUP($AG41,$X38:$AF41,9,FALSE)</f>
        <v>0</v>
      </c>
      <c r="AI41" s="1" t="str">
        <f>IF(AH41&lt;=AH39,AG41,AG39)</f>
        <v>Cameroon</v>
      </c>
      <c r="AJ41" s="1">
        <f>VLOOKUP($AI41,$X38:$AF41,9,FALSE)</f>
        <v>0</v>
      </c>
      <c r="AK41" s="1" t="str">
        <f>IF($AJ41&lt;=$AJ38,$AI41,$AI38)</f>
        <v>Cameroon</v>
      </c>
      <c r="AL41" s="1">
        <f>VLOOKUP($AK41,$X38:$AF41,9,FALSE)</f>
        <v>0</v>
      </c>
      <c r="AM41" s="1">
        <f>VLOOKUP($AK41,$X38:$AF41,8,FALSE)</f>
        <v>0</v>
      </c>
      <c r="AN41" s="1" t="str">
        <f>IF(AND($AL40=$AL41,$AM41&gt;$AM40),$AK40,$AK41)</f>
        <v>Cameroon</v>
      </c>
      <c r="AO41" s="1">
        <f>VLOOKUP($AN41,$X38:$AF41,9,FALSE)</f>
        <v>0</v>
      </c>
      <c r="AP41" s="1">
        <f>VLOOKUP($AN41,$X38:$AF41,8,FALSE)</f>
        <v>0</v>
      </c>
      <c r="AQ41" s="1" t="str">
        <f>IF(AND($AO39=$AO41,$AP41&gt;$AP39),$AN39,$AN41)</f>
        <v>Cameroon</v>
      </c>
      <c r="AR41" s="1">
        <f>VLOOKUP($AQ41,$X38:$AF41,9,FALSE)</f>
        <v>0</v>
      </c>
      <c r="AS41" s="1">
        <f>VLOOKUP($AQ41,$X38:$AF41,8,FALSE)</f>
        <v>0</v>
      </c>
      <c r="AT41" s="1" t="str">
        <f>IF(AND($AR38=$AR41,$AS41&gt;$AS38),$AQ38,$AQ41)</f>
        <v>Cameroon</v>
      </c>
      <c r="AU41" s="1">
        <f>VLOOKUP($AT41,$X38:$AF41,9,FALSE)</f>
        <v>0</v>
      </c>
      <c r="AV41" s="1">
        <f>VLOOKUP($AT41,$X38:$AF41,8,FALSE)</f>
        <v>0</v>
      </c>
      <c r="AW41" s="1">
        <f>VLOOKUP($AT41,$X38:$AF41,6,FALSE)</f>
        <v>0</v>
      </c>
      <c r="AX41" s="1" t="str">
        <f>IF(AND($AU40=$AU41,$AV40=$AV41,$AW41&gt;$AW40),$AT40,$AT41)</f>
        <v>Cameroon</v>
      </c>
      <c r="AY41" s="1">
        <f>VLOOKUP($AX41,$X38:$AF41,9,FALSE)</f>
        <v>0</v>
      </c>
      <c r="AZ41" s="1">
        <f>VLOOKUP($AX41,$X38:$AF41,8,FALSE)</f>
        <v>0</v>
      </c>
      <c r="BA41" s="1">
        <f>VLOOKUP($AX41,$X38:$AF41,6,FALSE)</f>
        <v>0</v>
      </c>
      <c r="BB41" s="1" t="str">
        <f>IF(AND($AY39=$AY41,$AZ39=$AZ41,$BA41&gt;$BA39),$AX39,$AX41)</f>
        <v>Cameroon</v>
      </c>
      <c r="BC41" s="1">
        <f>VLOOKUP($BB41,$X38:$AF41,9,FALSE)</f>
        <v>0</v>
      </c>
      <c r="BD41" s="1">
        <f>VLOOKUP($BB41,$X38:$AF41,8,FALSE)</f>
        <v>0</v>
      </c>
      <c r="BE41" s="1">
        <f>VLOOKUP($BB41,$X38:$AF41,6,FALSE)</f>
        <v>0</v>
      </c>
      <c r="BF41" s="1" t="str">
        <f>IF(AND($BC38=$BC41,$BD38=$BD41,$BE41&gt;$BE38),$BB38,$BB41)</f>
        <v>Cameroon</v>
      </c>
      <c r="BG41" s="1">
        <f>VLOOKUP($BF41,$X38:$AF41,9,FALSE)</f>
        <v>0</v>
      </c>
      <c r="BH41" s="1">
        <f>VLOOKUP($BF41,$X38:$AF41,8,FALSE)</f>
        <v>0</v>
      </c>
      <c r="BI41" s="1">
        <f>VLOOKUP($BF41,$X38:$AF41,6,FALSE)</f>
        <v>0</v>
      </c>
      <c r="BM41" s="1" t="str">
        <f>BF41</f>
        <v>Cameroon</v>
      </c>
      <c r="BN41" s="1">
        <f>VLOOKUP($BM41,$X38:$AF41,2,FALSE)</f>
        <v>0</v>
      </c>
      <c r="BO41" s="1">
        <f>VLOOKUP($BM41,$X38:$AF41,3,FALSE)</f>
        <v>0</v>
      </c>
      <c r="BP41" s="1">
        <f>VLOOKUP($BM41,$X38:$AF41,4,FALSE)</f>
        <v>0</v>
      </c>
      <c r="BQ41" s="1">
        <f>VLOOKUP($BM41,$X38:$AF41,5,FALSE)</f>
        <v>0</v>
      </c>
      <c r="BR41" s="1">
        <f>VLOOKUP($BM41,$X38:$AF41,6,FALSE)</f>
        <v>0</v>
      </c>
      <c r="BS41" s="1">
        <f>VLOOKUP($BM41,$X38:$AF41,7,FALSE)</f>
        <v>0</v>
      </c>
      <c r="BT41" s="1">
        <f>VLOOKUP($BM41,$X38:$AF41,8,FALSE)</f>
        <v>0</v>
      </c>
      <c r="BU41" s="1">
        <f>VLOOKUP($BM41,$X38:$AF41,9,FALSE)</f>
        <v>0</v>
      </c>
    </row>
    <row r="42" spans="2:22" ht="12.75" thickBot="1">
      <c r="B42" s="10">
        <v>40695</v>
      </c>
      <c r="C42" s="11">
        <v>0.8541666666666666</v>
      </c>
      <c r="D42" s="11">
        <f t="shared" si="3"/>
        <v>0.5208333333333333</v>
      </c>
      <c r="E42" s="28" t="s">
        <v>91</v>
      </c>
      <c r="F42" s="13"/>
      <c r="G42" s="14"/>
      <c r="H42" s="12" t="s">
        <v>88</v>
      </c>
      <c r="I42" s="15" t="s">
        <v>65</v>
      </c>
      <c r="J42" s="16" t="s">
        <v>46</v>
      </c>
      <c r="K42" s="1">
        <f t="shared" si="7"/>
      </c>
      <c r="L42" s="1">
        <f t="shared" si="8"/>
      </c>
      <c r="N42" s="7"/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9" t="s">
        <v>25</v>
      </c>
    </row>
    <row r="43" spans="2:24" ht="12.75" thickBot="1">
      <c r="B43" s="10">
        <v>41061</v>
      </c>
      <c r="C43" s="11">
        <v>0.6458333333333334</v>
      </c>
      <c r="D43" s="11">
        <f t="shared" si="3"/>
        <v>0.31250000000000006</v>
      </c>
      <c r="E43" s="28" t="s">
        <v>93</v>
      </c>
      <c r="F43" s="13"/>
      <c r="G43" s="14"/>
      <c r="H43" s="12" t="s">
        <v>94</v>
      </c>
      <c r="I43" s="15" t="s">
        <v>66</v>
      </c>
      <c r="J43" s="16" t="s">
        <v>22</v>
      </c>
      <c r="K43" s="1">
        <f>IF(F43&lt;&gt;"",IF(F43&gt;G43,E43,IF(G43&gt;F43,H43,"Draw")),"")</f>
      </c>
      <c r="L43" s="1">
        <f>IF(F43&lt;&gt;"",IF(F43&lt;G43,E43,IF(G43&lt;F43,H43,"Draw")),"")</f>
      </c>
      <c r="N43" s="17" t="str">
        <f aca="true" t="shared" si="10" ref="N43:V46">BM45</f>
        <v>Argentina</v>
      </c>
      <c r="O43" s="18">
        <f t="shared" si="10"/>
        <v>0</v>
      </c>
      <c r="P43" s="18">
        <f t="shared" si="10"/>
        <v>0</v>
      </c>
      <c r="Q43" s="18">
        <f t="shared" si="10"/>
        <v>0</v>
      </c>
      <c r="R43" s="18">
        <f t="shared" si="10"/>
        <v>0</v>
      </c>
      <c r="S43" s="18">
        <f t="shared" si="10"/>
        <v>0</v>
      </c>
      <c r="T43" s="18">
        <f t="shared" si="10"/>
        <v>0</v>
      </c>
      <c r="U43" s="18">
        <f t="shared" si="10"/>
        <v>0</v>
      </c>
      <c r="V43" s="19">
        <f t="shared" si="10"/>
        <v>0</v>
      </c>
      <c r="X43" s="1" t="s">
        <v>71</v>
      </c>
    </row>
    <row r="44" spans="2:32" ht="12.75" thickBot="1">
      <c r="B44" s="10">
        <v>41061</v>
      </c>
      <c r="C44" s="11">
        <v>0.6458333333333334</v>
      </c>
      <c r="D44" s="11">
        <f t="shared" si="3"/>
        <v>0.31250000000000006</v>
      </c>
      <c r="E44" s="28" t="s">
        <v>95</v>
      </c>
      <c r="F44" s="13"/>
      <c r="G44" s="14"/>
      <c r="H44" s="12" t="s">
        <v>92</v>
      </c>
      <c r="I44" s="15" t="s">
        <v>62</v>
      </c>
      <c r="J44" s="16" t="s">
        <v>22</v>
      </c>
      <c r="K44" s="1">
        <f>IF(F44&lt;&gt;"",IF(F44&gt;G44,E44,IF(G44&gt;F44,H44,"Draw")),"")</f>
      </c>
      <c r="L44" s="1">
        <f>IF(F44&lt;&gt;"",IF(F44&lt;G44,E44,IF(G44&lt;F44,H44,"Draw")),"")</f>
      </c>
      <c r="N44" s="17" t="str">
        <f t="shared" si="10"/>
        <v>Nigeria</v>
      </c>
      <c r="O44" s="18">
        <f t="shared" si="10"/>
        <v>0</v>
      </c>
      <c r="P44" s="18">
        <f t="shared" si="10"/>
        <v>0</v>
      </c>
      <c r="Q44" s="18">
        <f t="shared" si="10"/>
        <v>0</v>
      </c>
      <c r="R44" s="18">
        <f t="shared" si="10"/>
        <v>0</v>
      </c>
      <c r="S44" s="18">
        <f t="shared" si="10"/>
        <v>0</v>
      </c>
      <c r="T44" s="18">
        <f t="shared" si="10"/>
        <v>0</v>
      </c>
      <c r="U44" s="18">
        <f t="shared" si="10"/>
        <v>0</v>
      </c>
      <c r="V44" s="19">
        <f t="shared" si="10"/>
        <v>0</v>
      </c>
      <c r="Y44" s="1" t="s">
        <v>27</v>
      </c>
      <c r="Z44" s="1" t="s">
        <v>19</v>
      </c>
      <c r="AA44" s="1" t="s">
        <v>20</v>
      </c>
      <c r="AB44" s="1" t="s">
        <v>21</v>
      </c>
      <c r="AC44" s="1" t="s">
        <v>22</v>
      </c>
      <c r="AD44" s="1" t="s">
        <v>23</v>
      </c>
      <c r="AE44" s="1" t="s">
        <v>24</v>
      </c>
      <c r="AF44" s="1" t="s">
        <v>28</v>
      </c>
    </row>
    <row r="45" spans="2:73" ht="12.75" thickBot="1">
      <c r="B45" s="10">
        <v>41061</v>
      </c>
      <c r="C45" s="11">
        <v>0.8541666666666666</v>
      </c>
      <c r="D45" s="11">
        <f t="shared" si="3"/>
        <v>0.5208333333333333</v>
      </c>
      <c r="E45" s="28" t="s">
        <v>78</v>
      </c>
      <c r="F45" s="13"/>
      <c r="G45" s="14"/>
      <c r="H45" s="12" t="s">
        <v>79</v>
      </c>
      <c r="I45" s="15" t="s">
        <v>60</v>
      </c>
      <c r="J45" s="16" t="s">
        <v>26</v>
      </c>
      <c r="K45" s="1">
        <f>IF(F45&lt;&gt;"",IF(F45&gt;G45,E45,IF(G45&gt;F45,H45,"Draw")),"")</f>
      </c>
      <c r="L45" s="1">
        <f>IF(F45&lt;&gt;"",IF(F45&lt;G45,E45,IF(G45&lt;F45,H45,"Draw")),"")</f>
      </c>
      <c r="N45" s="17" t="str">
        <f t="shared" si="10"/>
        <v>England</v>
      </c>
      <c r="O45" s="18">
        <f t="shared" si="10"/>
        <v>0</v>
      </c>
      <c r="P45" s="18">
        <f t="shared" si="10"/>
        <v>0</v>
      </c>
      <c r="Q45" s="18">
        <f t="shared" si="10"/>
        <v>0</v>
      </c>
      <c r="R45" s="18">
        <f t="shared" si="10"/>
        <v>0</v>
      </c>
      <c r="S45" s="18">
        <f t="shared" si="10"/>
        <v>0</v>
      </c>
      <c r="T45" s="18">
        <f t="shared" si="10"/>
        <v>0</v>
      </c>
      <c r="U45" s="18">
        <f t="shared" si="10"/>
        <v>0</v>
      </c>
      <c r="V45" s="19">
        <f t="shared" si="10"/>
        <v>0</v>
      </c>
      <c r="X45" s="1" t="s">
        <v>92</v>
      </c>
      <c r="Y45" s="1">
        <f>COUNT(Argentina_Played)</f>
        <v>0</v>
      </c>
      <c r="Z45" s="1">
        <f>COUNTIF(Groupstage_Winners,"Argentina")</f>
        <v>0</v>
      </c>
      <c r="AA45" s="1">
        <f>COUNTIF(Groupstage_Losers,"Argentina")</f>
        <v>0</v>
      </c>
      <c r="AB45" s="1">
        <f>Y45-(Z45+AA45)</f>
        <v>0</v>
      </c>
      <c r="AC45" s="1">
        <f>SUM(Argentina_Played)</f>
        <v>0</v>
      </c>
      <c r="AD45" s="1">
        <f>SUM(Argentina_Against)</f>
        <v>0</v>
      </c>
      <c r="AE45" s="1">
        <f>AC45-AD45</f>
        <v>0</v>
      </c>
      <c r="AF45" s="1">
        <f>Z45*Winpoints+AB45*Drawpoints</f>
        <v>0</v>
      </c>
      <c r="AG45" s="1" t="str">
        <f>IF($AF45&gt;=$AF46,$X45,$X46)</f>
        <v>Argentina</v>
      </c>
      <c r="AH45" s="1">
        <f>VLOOKUP($AG45,$X45:$AF48,9,FALSE)</f>
        <v>0</v>
      </c>
      <c r="AI45" s="1" t="str">
        <f>IF($AH45&gt;=$AH47,$AG45,$AG47)</f>
        <v>Argentina</v>
      </c>
      <c r="AJ45" s="1">
        <f>VLOOKUP($AI45,$X45:$AF48,9,FALSE)</f>
        <v>0</v>
      </c>
      <c r="AK45" s="1" t="str">
        <f>IF($AJ45&gt;=$AJ48,$AI45,$AI48)</f>
        <v>Argentina</v>
      </c>
      <c r="AL45" s="1">
        <f>VLOOKUP($AK45,$X45:$AF48,9,FALSE)</f>
        <v>0</v>
      </c>
      <c r="AM45" s="1">
        <f>VLOOKUP($AK45,$X45:$AF48,8,FALSE)</f>
        <v>0</v>
      </c>
      <c r="AN45" s="1" t="str">
        <f>IF(AND($AL45=$AL46,$AM46&gt;$AM45),$AK46,$AK45)</f>
        <v>Argentina</v>
      </c>
      <c r="AO45" s="1">
        <f>VLOOKUP($AN45,$X45:$AF48,9,FALSE)</f>
        <v>0</v>
      </c>
      <c r="AP45" s="1">
        <f>VLOOKUP($AN45,$X45:$AF48,8,FALSE)</f>
        <v>0</v>
      </c>
      <c r="AQ45" s="1" t="str">
        <f>IF(AND($AO45=$AO47,$AP47&gt;$AP45),$AN47,$AN45)</f>
        <v>Argentina</v>
      </c>
      <c r="AR45" s="1">
        <f>VLOOKUP($AQ45,$X45:$AF48,9,FALSE)</f>
        <v>0</v>
      </c>
      <c r="AS45" s="1">
        <f>VLOOKUP($AQ45,$X45:$AF48,8,FALSE)</f>
        <v>0</v>
      </c>
      <c r="AT45" s="1" t="str">
        <f>IF(AND($AR45=$AR48,$AS48&gt;$AS45),$AQ48,$AQ45)</f>
        <v>Argentina</v>
      </c>
      <c r="AU45" s="1">
        <f>VLOOKUP($AT45,$X45:$AF48,9,FALSE)</f>
        <v>0</v>
      </c>
      <c r="AV45" s="1">
        <f>VLOOKUP($AT45,$X45:$AF48,8,FALSE)</f>
        <v>0</v>
      </c>
      <c r="AW45" s="1">
        <f>VLOOKUP($AT45,$X45:$AF48,6,FALSE)</f>
        <v>0</v>
      </c>
      <c r="AX45" s="1" t="str">
        <f>IF(AND($AU45=$AU46,$AV45=$AV46,$AW46&gt;$AW45),$AT46,$AT45)</f>
        <v>Argentina</v>
      </c>
      <c r="AY45" s="1">
        <f>VLOOKUP($AX45,$X45:$AF48,9,FALSE)</f>
        <v>0</v>
      </c>
      <c r="AZ45" s="1">
        <f>VLOOKUP($AX45,$X45:$AF48,8,FALSE)</f>
        <v>0</v>
      </c>
      <c r="BA45" s="1">
        <f>VLOOKUP($AX45,$X45:$AF48,6,FALSE)</f>
        <v>0</v>
      </c>
      <c r="BB45" s="1" t="str">
        <f>IF(AND($AY45=$AY47,$AZ45=$AZ47,$BA47&gt;$BA45),$AX47,$AX45)</f>
        <v>Argentina</v>
      </c>
      <c r="BC45" s="1">
        <f>VLOOKUP($BB45,$X45:$AF48,9,FALSE)</f>
        <v>0</v>
      </c>
      <c r="BD45" s="1">
        <f>VLOOKUP($BB45,$X45:$AF48,8,FALSE)</f>
        <v>0</v>
      </c>
      <c r="BE45" s="1">
        <f>VLOOKUP($BB45,$X45:$AF48,6,FALSE)</f>
        <v>0</v>
      </c>
      <c r="BF45" s="1" t="str">
        <f>IF(AND($BC45=$BC48,$BD45=$BD48,$BE48&gt;$BE45),$BB48,$BB45)</f>
        <v>Argentina</v>
      </c>
      <c r="BG45" s="1">
        <f>VLOOKUP($BF45,$X45:$AF48,9,FALSE)</f>
        <v>0</v>
      </c>
      <c r="BH45" s="1">
        <f>VLOOKUP($BF45,$X45:$AF48,8,FALSE)</f>
        <v>0</v>
      </c>
      <c r="BI45" s="1">
        <f>VLOOKUP($BF45,$X45:$AF48,6,FALSE)</f>
        <v>0</v>
      </c>
      <c r="BM45" s="1" t="str">
        <f>BF45</f>
        <v>Argentina</v>
      </c>
      <c r="BN45" s="1">
        <f>VLOOKUP($BM45,$X45:$AF48,2,FALSE)</f>
        <v>0</v>
      </c>
      <c r="BO45" s="1">
        <f>VLOOKUP($BM45,$X45:$AF48,3,FALSE)</f>
        <v>0</v>
      </c>
      <c r="BP45" s="1">
        <f>VLOOKUP($BM45,$X45:$AF48,4,FALSE)</f>
        <v>0</v>
      </c>
      <c r="BQ45" s="1">
        <f>VLOOKUP($BM45,$X45:$AF48,5,FALSE)</f>
        <v>0</v>
      </c>
      <c r="BR45" s="1">
        <f>VLOOKUP($BM45,$X45:$AF48,6,FALSE)</f>
        <v>0</v>
      </c>
      <c r="BS45" s="1">
        <f>VLOOKUP($BM45,$X45:$AF48,7,FALSE)</f>
        <v>0</v>
      </c>
      <c r="BT45" s="1">
        <f>VLOOKUP($BM45,$X45:$AF48,8,FALSE)</f>
        <v>0</v>
      </c>
      <c r="BU45" s="1">
        <f>VLOOKUP($BM45,$X45:$AF48,9,FALSE)</f>
        <v>0</v>
      </c>
    </row>
    <row r="46" spans="2:73" ht="12.75" thickBot="1">
      <c r="B46" s="10">
        <v>41061</v>
      </c>
      <c r="C46" s="11">
        <v>0.8541666666666666</v>
      </c>
      <c r="D46" s="11">
        <f t="shared" si="3"/>
        <v>0.5208333333333333</v>
      </c>
      <c r="E46" s="28" t="s">
        <v>80</v>
      </c>
      <c r="F46" s="13"/>
      <c r="G46" s="14"/>
      <c r="H46" s="12" t="s">
        <v>77</v>
      </c>
      <c r="I46" s="15" t="s">
        <v>67</v>
      </c>
      <c r="J46" s="16" t="s">
        <v>26</v>
      </c>
      <c r="K46" s="1">
        <f>IF(F46&lt;&gt;"",IF(F46&gt;G46,E46,IF(G46&gt;F46,H46,"Draw")),"")</f>
      </c>
      <c r="L46" s="1">
        <f>IF(F46&lt;&gt;"",IF(F46&lt;G46,E46,IF(G46&lt;F46,H46,"Draw")),"")</f>
      </c>
      <c r="N46" s="20" t="str">
        <f t="shared" si="10"/>
        <v>Sweden</v>
      </c>
      <c r="O46" s="21">
        <f t="shared" si="10"/>
        <v>0</v>
      </c>
      <c r="P46" s="21">
        <f t="shared" si="10"/>
        <v>0</v>
      </c>
      <c r="Q46" s="21">
        <f t="shared" si="10"/>
        <v>0</v>
      </c>
      <c r="R46" s="21">
        <f t="shared" si="10"/>
        <v>0</v>
      </c>
      <c r="S46" s="21">
        <f t="shared" si="10"/>
        <v>0</v>
      </c>
      <c r="T46" s="21">
        <f t="shared" si="10"/>
        <v>0</v>
      </c>
      <c r="U46" s="21">
        <f t="shared" si="10"/>
        <v>0</v>
      </c>
      <c r="V46" s="22">
        <f t="shared" si="10"/>
        <v>0</v>
      </c>
      <c r="X46" s="1" t="s">
        <v>93</v>
      </c>
      <c r="Y46" s="1">
        <f>COUNT(Nigeria_Played)</f>
        <v>0</v>
      </c>
      <c r="Z46" s="1">
        <f>COUNTIF(Groupstage_Winners,"Nigeria")</f>
        <v>0</v>
      </c>
      <c r="AA46" s="1">
        <f>COUNTIF(Groupstage_Losers,"Nigeria")</f>
        <v>0</v>
      </c>
      <c r="AB46" s="1">
        <f>Y46-(Z46+AA46)</f>
        <v>0</v>
      </c>
      <c r="AC46" s="1">
        <f>SUM(Nigeria_Played)</f>
        <v>0</v>
      </c>
      <c r="AD46" s="1">
        <f>SUM(Nigeria_Against)</f>
        <v>0</v>
      </c>
      <c r="AE46" s="1">
        <f>AC46-AD46</f>
        <v>0</v>
      </c>
      <c r="AF46" s="1">
        <f>Z46*Winpoints+AB46*Drawpoints</f>
        <v>0</v>
      </c>
      <c r="AG46" s="1" t="str">
        <f>IF($AF46&lt;=$AF45,$X46,$X45)</f>
        <v>Nigeria</v>
      </c>
      <c r="AH46" s="1">
        <f>VLOOKUP($AG46,$X45:$AF48,9,FALSE)</f>
        <v>0</v>
      </c>
      <c r="AI46" s="1" t="str">
        <f>IF(AH46&gt;=AH48,AG46,AG48)</f>
        <v>Nigeria</v>
      </c>
      <c r="AJ46" s="1">
        <f>VLOOKUP($AI46,$X45:$AF48,9,FALSE)</f>
        <v>0</v>
      </c>
      <c r="AK46" s="1" t="str">
        <f>IF($AJ46&gt;=$AJ47,$AI46,$AI47)</f>
        <v>Nigeria</v>
      </c>
      <c r="AL46" s="1">
        <f>VLOOKUP($AK46,$X45:$AF48,9,FALSE)</f>
        <v>0</v>
      </c>
      <c r="AM46" s="1">
        <f>VLOOKUP($AK46,$X45:$AF48,8,FALSE)</f>
        <v>0</v>
      </c>
      <c r="AN46" s="1" t="str">
        <f>IF(AND($AL45=$AL46,$AM46&gt;$AM45),$AK45,$AK46)</f>
        <v>Nigeria</v>
      </c>
      <c r="AO46" s="1">
        <f>VLOOKUP($AN46,$X45:$AF48,9,FALSE)</f>
        <v>0</v>
      </c>
      <c r="AP46" s="1">
        <f>VLOOKUP($AN46,$X45:$AF48,8,FALSE)</f>
        <v>0</v>
      </c>
      <c r="AQ46" s="1" t="str">
        <f>IF(AND($AO46=$AO48,$AP48&gt;$AP46),$AN48,$AN46)</f>
        <v>Nigeria</v>
      </c>
      <c r="AR46" s="1">
        <f>VLOOKUP($AQ46,$X45:$AF48,9,FALSE)</f>
        <v>0</v>
      </c>
      <c r="AS46" s="1">
        <f>VLOOKUP($AQ46,$X45:$AF48,8,FALSE)</f>
        <v>0</v>
      </c>
      <c r="AT46" s="1" t="str">
        <f>IF(AND($AR46=$AR47,$AS47&gt;$AS46),$AQ47,$AQ46)</f>
        <v>Nigeria</v>
      </c>
      <c r="AU46" s="1">
        <f>VLOOKUP($AT46,$X45:$AF48,9,FALSE)</f>
        <v>0</v>
      </c>
      <c r="AV46" s="1">
        <f>VLOOKUP($AT46,$X45:$AF48,8,FALSE)</f>
        <v>0</v>
      </c>
      <c r="AW46" s="1">
        <f>VLOOKUP($AT46,$X45:$AF48,6,FALSE)</f>
        <v>0</v>
      </c>
      <c r="AX46" s="1" t="str">
        <f>IF(AND($AU45=$AU46,$AV45=$AV46,$AW46&gt;$AW45),$AT45,$AT46)</f>
        <v>Nigeria</v>
      </c>
      <c r="AY46" s="1">
        <f>VLOOKUP($AX46,$X45:$AF48,9,FALSE)</f>
        <v>0</v>
      </c>
      <c r="AZ46" s="1">
        <f>VLOOKUP($AX46,$X45:$AF48,8,FALSE)</f>
        <v>0</v>
      </c>
      <c r="BA46" s="1">
        <f>VLOOKUP($AX46,$X45:$AF48,6,FALSE)</f>
        <v>0</v>
      </c>
      <c r="BB46" s="1" t="str">
        <f>IF(AND($AY46=$AY48,$AZ46=$AZ48,$BA48&gt;$BA46),$AX48,$AX46)</f>
        <v>Nigeria</v>
      </c>
      <c r="BC46" s="1">
        <f>VLOOKUP($BB46,$X45:$AF48,9,FALSE)</f>
        <v>0</v>
      </c>
      <c r="BD46" s="1">
        <f>VLOOKUP($BB46,$X45:$AF48,8,FALSE)</f>
        <v>0</v>
      </c>
      <c r="BE46" s="1">
        <f>VLOOKUP($BB46,$X45:$AF48,6,FALSE)</f>
        <v>0</v>
      </c>
      <c r="BF46" s="1" t="str">
        <f>IF(AND($BC46=$BC47,$BD46=$BD47,$BE47&gt;$BE46),$BB47,$BB46)</f>
        <v>Nigeria</v>
      </c>
      <c r="BG46" s="1">
        <f>VLOOKUP($BF46,$X45:$AF48,9,FALSE)</f>
        <v>0</v>
      </c>
      <c r="BH46" s="1">
        <f>VLOOKUP($BF46,$X45:$AF48,8,FALSE)</f>
        <v>0</v>
      </c>
      <c r="BI46" s="1">
        <f>VLOOKUP($BF46,$X45:$AF48,6,FALSE)</f>
        <v>0</v>
      </c>
      <c r="BM46" s="1" t="str">
        <f>BF46</f>
        <v>Nigeria</v>
      </c>
      <c r="BN46" s="1">
        <f>VLOOKUP($BM46,$X45:$AF48,2,FALSE)</f>
        <v>0</v>
      </c>
      <c r="BO46" s="1">
        <f>VLOOKUP($BM46,$X45:$AF48,3,FALSE)</f>
        <v>0</v>
      </c>
      <c r="BP46" s="1">
        <f>VLOOKUP($BM46,$X45:$AF48,4,FALSE)</f>
        <v>0</v>
      </c>
      <c r="BQ46" s="1">
        <f>VLOOKUP($BM46,$X45:$AF48,5,FALSE)</f>
        <v>0</v>
      </c>
      <c r="BR46" s="1">
        <f>VLOOKUP($BM46,$X45:$AF48,6,FALSE)</f>
        <v>0</v>
      </c>
      <c r="BS46" s="1">
        <f>VLOOKUP($BM46,$X45:$AF48,7,FALSE)</f>
        <v>0</v>
      </c>
      <c r="BT46" s="1">
        <f>VLOOKUP($BM46,$X45:$AF48,8,FALSE)</f>
        <v>0</v>
      </c>
      <c r="BU46" s="1">
        <f>VLOOKUP($BM46,$X45:$AF48,9,FALSE)</f>
        <v>0</v>
      </c>
    </row>
    <row r="47" spans="2:73" ht="12.75" thickBot="1">
      <c r="B47" s="10">
        <v>41426</v>
      </c>
      <c r="C47" s="11">
        <v>0.6458333333333334</v>
      </c>
      <c r="D47" s="11">
        <f t="shared" si="3"/>
        <v>0.31250000000000006</v>
      </c>
      <c r="E47" s="28" t="s">
        <v>82</v>
      </c>
      <c r="F47" s="13"/>
      <c r="G47" s="14"/>
      <c r="H47" s="12" t="s">
        <v>83</v>
      </c>
      <c r="I47" s="15" t="s">
        <v>43</v>
      </c>
      <c r="J47" s="16" t="s">
        <v>32</v>
      </c>
      <c r="K47" s="1">
        <f t="shared" si="7"/>
      </c>
      <c r="L47" s="1">
        <f t="shared" si="8"/>
      </c>
      <c r="X47" s="1" t="s">
        <v>94</v>
      </c>
      <c r="Y47" s="1">
        <f>COUNT(England_Played)</f>
        <v>0</v>
      </c>
      <c r="Z47" s="1">
        <f>COUNTIF(Groupstage_Winners,"England")</f>
        <v>0</v>
      </c>
      <c r="AA47" s="1">
        <f>COUNTIF(Groupstage_Losers,"England")</f>
        <v>0</v>
      </c>
      <c r="AB47" s="1">
        <f>Y47-(Z47+AA47)</f>
        <v>0</v>
      </c>
      <c r="AC47" s="1">
        <f>SUM(England_Played)</f>
        <v>0</v>
      </c>
      <c r="AD47" s="1">
        <f>SUM(England_Against)</f>
        <v>0</v>
      </c>
      <c r="AE47" s="1">
        <f>AC47-AD47</f>
        <v>0</v>
      </c>
      <c r="AF47" s="1">
        <f>Z47*Winpoints+AB47*Drawpoints</f>
        <v>0</v>
      </c>
      <c r="AG47" s="1" t="str">
        <f>IF($AF47&gt;=$AF48,$X47,$X48)</f>
        <v>England</v>
      </c>
      <c r="AH47" s="1">
        <f>VLOOKUP($AG47,$X45:$AF48,9,FALSE)</f>
        <v>0</v>
      </c>
      <c r="AI47" s="1" t="str">
        <f>IF($AH47&lt;=$AH45,$AG47,$AG45)</f>
        <v>England</v>
      </c>
      <c r="AJ47" s="1">
        <f>VLOOKUP($AI47,$X45:$AF48,9,FALSE)</f>
        <v>0</v>
      </c>
      <c r="AK47" s="1" t="str">
        <f>IF($AJ47&lt;=$AJ46,$AI47,$AI46)</f>
        <v>England</v>
      </c>
      <c r="AL47" s="1">
        <f>VLOOKUP($AK47,$X45:$AF48,9,FALSE)</f>
        <v>0</v>
      </c>
      <c r="AM47" s="1">
        <f>VLOOKUP($AK47,$X45:$AF48,8,FALSE)</f>
        <v>0</v>
      </c>
      <c r="AN47" s="1" t="str">
        <f>IF(AND($AL47=$AL48,$AM48&gt;$AM47),$AK48,$AK47)</f>
        <v>England</v>
      </c>
      <c r="AO47" s="1">
        <f>VLOOKUP($AN47,$X45:$AF48,9,FALSE)</f>
        <v>0</v>
      </c>
      <c r="AP47" s="1">
        <f>VLOOKUP($AN47,$X45:$AF48,8,FALSE)</f>
        <v>0</v>
      </c>
      <c r="AQ47" s="1" t="str">
        <f>IF(AND($AO45=$AO47,$AP47&gt;$AP45),$AN45,$AN47)</f>
        <v>England</v>
      </c>
      <c r="AR47" s="1">
        <f>VLOOKUP($AQ47,$X45:$AF48,9,FALSE)</f>
        <v>0</v>
      </c>
      <c r="AS47" s="1">
        <f>VLOOKUP($AQ47,$X45:$AF48,8,FALSE)</f>
        <v>0</v>
      </c>
      <c r="AT47" s="1" t="str">
        <f>IF(AND($AR46=$AR47,$AS47&gt;$AS46),$AQ46,$AQ47)</f>
        <v>England</v>
      </c>
      <c r="AU47" s="1">
        <f>VLOOKUP($AT47,$X45:$AF48,9,FALSE)</f>
        <v>0</v>
      </c>
      <c r="AV47" s="1">
        <f>VLOOKUP($AT47,$X45:$AF48,8,FALSE)</f>
        <v>0</v>
      </c>
      <c r="AW47" s="1">
        <f>VLOOKUP($AT47,$X45:$AF48,6,FALSE)</f>
        <v>0</v>
      </c>
      <c r="AX47" s="1" t="str">
        <f>IF(AND($AU47=$AU48,$AV47=$AV48,$AW48&gt;$AW47),$AT48,$AT47)</f>
        <v>England</v>
      </c>
      <c r="AY47" s="1">
        <f>VLOOKUP($AX47,$X45:$AF48,9,FALSE)</f>
        <v>0</v>
      </c>
      <c r="AZ47" s="1">
        <f>VLOOKUP($AX47,$X45:$AF48,8,FALSE)</f>
        <v>0</v>
      </c>
      <c r="BA47" s="1">
        <f>VLOOKUP($AX47,$X45:$AF48,6,FALSE)</f>
        <v>0</v>
      </c>
      <c r="BB47" s="1" t="str">
        <f>IF(AND($AY45=$AY47,$AZ45=$AZ47,$BA46&gt;$BA45),$AX45,$AX47)</f>
        <v>England</v>
      </c>
      <c r="BC47" s="1">
        <f>VLOOKUP($BB47,$X45:$AF48,9,FALSE)</f>
        <v>0</v>
      </c>
      <c r="BD47" s="1">
        <f>VLOOKUP($BB47,$X45:$AF48,8,FALSE)</f>
        <v>0</v>
      </c>
      <c r="BE47" s="1">
        <f>VLOOKUP($BB47,$X45:$AF48,6,FALSE)</f>
        <v>0</v>
      </c>
      <c r="BF47" s="1" t="str">
        <f>IF(AND($BC46=$BC47,$BD46=$BD47,$BE47&gt;$BE46),$BB46,$BB47)</f>
        <v>England</v>
      </c>
      <c r="BG47" s="1">
        <f>VLOOKUP($BF47,$X45:$AF48,9,FALSE)</f>
        <v>0</v>
      </c>
      <c r="BH47" s="1">
        <f>VLOOKUP($BF47,$X45:$AF48,8,FALSE)</f>
        <v>0</v>
      </c>
      <c r="BI47" s="1">
        <f>VLOOKUP($BF47,$X45:$AF48,6,FALSE)</f>
        <v>0</v>
      </c>
      <c r="BM47" s="1" t="str">
        <f>BF47</f>
        <v>England</v>
      </c>
      <c r="BN47" s="1">
        <f>VLOOKUP($BM47,$X45:$AF48,2,FALSE)</f>
        <v>0</v>
      </c>
      <c r="BO47" s="1">
        <f>VLOOKUP($BM47,$X45:$AF48,3,FALSE)</f>
        <v>0</v>
      </c>
      <c r="BP47" s="1">
        <f>VLOOKUP($BM47,$X45:$AF48,4,FALSE)</f>
        <v>0</v>
      </c>
      <c r="BQ47" s="1">
        <f>VLOOKUP($BM47,$X45:$AF48,5,FALSE)</f>
        <v>0</v>
      </c>
      <c r="BR47" s="1">
        <f>VLOOKUP($BM47,$X45:$AF48,6,FALSE)</f>
        <v>0</v>
      </c>
      <c r="BS47" s="1">
        <f>VLOOKUP($BM47,$X45:$AF48,7,FALSE)</f>
        <v>0</v>
      </c>
      <c r="BT47" s="1">
        <f>VLOOKUP($BM47,$X45:$AF48,8,FALSE)</f>
        <v>0</v>
      </c>
      <c r="BU47" s="1">
        <f>VLOOKUP($BM47,$X45:$AF48,9,FALSE)</f>
        <v>0</v>
      </c>
    </row>
    <row r="48" spans="2:73" ht="16.5" thickBot="1">
      <c r="B48" s="10">
        <v>41426</v>
      </c>
      <c r="C48" s="11">
        <v>0.6458333333333334</v>
      </c>
      <c r="D48" s="11">
        <f t="shared" si="3"/>
        <v>0.31250000000000006</v>
      </c>
      <c r="E48" s="28" t="s">
        <v>84</v>
      </c>
      <c r="F48" s="13"/>
      <c r="G48" s="14"/>
      <c r="H48" s="12" t="s">
        <v>81</v>
      </c>
      <c r="I48" s="15" t="s">
        <v>57</v>
      </c>
      <c r="J48" s="16" t="s">
        <v>32</v>
      </c>
      <c r="K48" s="1">
        <f t="shared" si="7"/>
      </c>
      <c r="L48" s="1">
        <f t="shared" si="8"/>
      </c>
      <c r="N48" s="2" t="s">
        <v>72</v>
      </c>
      <c r="O48" s="3"/>
      <c r="P48" s="3"/>
      <c r="Q48" s="3"/>
      <c r="R48" s="3"/>
      <c r="S48" s="3"/>
      <c r="T48" s="3"/>
      <c r="U48" s="3"/>
      <c r="V48" s="4"/>
      <c r="X48" s="1" t="s">
        <v>95</v>
      </c>
      <c r="Y48" s="1">
        <f>COUNT(Sweden_Played)</f>
        <v>0</v>
      </c>
      <c r="Z48" s="1">
        <f>COUNTIF(Groupstage_Winners,"Sweden")</f>
        <v>0</v>
      </c>
      <c r="AA48" s="1">
        <f>COUNTIF(Groupstage_Losers,"Sweden")</f>
        <v>0</v>
      </c>
      <c r="AB48" s="1">
        <f>Y48-(Z48+AA48)</f>
        <v>0</v>
      </c>
      <c r="AC48" s="1">
        <f>SUM(Sweden_Played)</f>
        <v>0</v>
      </c>
      <c r="AD48" s="1">
        <f>SUM(Sweden_Against)</f>
        <v>0</v>
      </c>
      <c r="AE48" s="1">
        <f>AC48-AD48</f>
        <v>0</v>
      </c>
      <c r="AF48" s="1">
        <f>Z48*Winpoints+AB48*Drawpoints</f>
        <v>0</v>
      </c>
      <c r="AG48" s="1" t="str">
        <f>IF($AF48&lt;=$AF47,$X48,$X47)</f>
        <v>Sweden</v>
      </c>
      <c r="AH48" s="1">
        <f>VLOOKUP($AG48,$X45:$AF48,9,FALSE)</f>
        <v>0</v>
      </c>
      <c r="AI48" s="1" t="str">
        <f>IF(AH48&lt;=AH46,AG48,AG46)</f>
        <v>Sweden</v>
      </c>
      <c r="AJ48" s="1">
        <f>VLOOKUP($AI48,$X45:$AF48,9,FALSE)</f>
        <v>0</v>
      </c>
      <c r="AK48" s="1" t="str">
        <f>IF($AJ48&lt;=$AJ45,$AI48,$AI45)</f>
        <v>Sweden</v>
      </c>
      <c r="AL48" s="1">
        <f>VLOOKUP($AK48,$X45:$AF48,9,FALSE)</f>
        <v>0</v>
      </c>
      <c r="AM48" s="1">
        <f>VLOOKUP($AK48,$X45:$AF48,8,FALSE)</f>
        <v>0</v>
      </c>
      <c r="AN48" s="1" t="str">
        <f>IF(AND($AL47=$AL48,$AM48&gt;$AM47),$AK47,$AK48)</f>
        <v>Sweden</v>
      </c>
      <c r="AO48" s="1">
        <f>VLOOKUP($AN48,$X45:$AF48,9,FALSE)</f>
        <v>0</v>
      </c>
      <c r="AP48" s="1">
        <f>VLOOKUP($AN48,$X45:$AF48,8,FALSE)</f>
        <v>0</v>
      </c>
      <c r="AQ48" s="1" t="str">
        <f>IF(AND($AO46=$AO48,$AP48&gt;$AP46),$AN46,$AN48)</f>
        <v>Sweden</v>
      </c>
      <c r="AR48" s="1">
        <f>VLOOKUP($AQ48,$X45:$AF48,9,FALSE)</f>
        <v>0</v>
      </c>
      <c r="AS48" s="1">
        <f>VLOOKUP($AQ48,$X45:$AF48,8,FALSE)</f>
        <v>0</v>
      </c>
      <c r="AT48" s="1" t="str">
        <f>IF(AND($AR45=$AR48,$AS48&gt;$AS45),$AQ45,$AQ48)</f>
        <v>Sweden</v>
      </c>
      <c r="AU48" s="1">
        <f>VLOOKUP($AT48,$X45:$AF48,9,FALSE)</f>
        <v>0</v>
      </c>
      <c r="AV48" s="1">
        <f>VLOOKUP($AT48,$X45:$AF48,8,FALSE)</f>
        <v>0</v>
      </c>
      <c r="AW48" s="1">
        <f>VLOOKUP($AT48,$X45:$AF48,6,FALSE)</f>
        <v>0</v>
      </c>
      <c r="AX48" s="1" t="str">
        <f>IF(AND($AU47=$AU48,$AV47=$AV48,$AW48&gt;$AW47),$AT47,$AT48)</f>
        <v>Sweden</v>
      </c>
      <c r="AY48" s="1">
        <f>VLOOKUP($AX48,$X45:$AF48,9,FALSE)</f>
        <v>0</v>
      </c>
      <c r="AZ48" s="1">
        <f>VLOOKUP($AX48,$X45:$AF48,8,FALSE)</f>
        <v>0</v>
      </c>
      <c r="BA48" s="1">
        <f>VLOOKUP($AX48,$X45:$AF48,6,FALSE)</f>
        <v>0</v>
      </c>
      <c r="BB48" s="1" t="str">
        <f>IF(AND($AY46=$AY48,$AZ46=$AZ48,$BA48&gt;$BA46),$AX46,$AX48)</f>
        <v>Sweden</v>
      </c>
      <c r="BC48" s="1">
        <f>VLOOKUP($BB48,$X45:$AF48,9,FALSE)</f>
        <v>0</v>
      </c>
      <c r="BD48" s="1">
        <f>VLOOKUP($BB48,$X45:$AF48,8,FALSE)</f>
        <v>0</v>
      </c>
      <c r="BE48" s="1">
        <f>VLOOKUP($BB48,$X45:$AF48,6,FALSE)</f>
        <v>0</v>
      </c>
      <c r="BF48" s="1" t="str">
        <f>IF(AND($BC45=$BC48,$BD45=$BD48,$BE48&gt;$BE45),$BB45,$BB48)</f>
        <v>Sweden</v>
      </c>
      <c r="BG48" s="1">
        <f>VLOOKUP($BF48,$X45:$AF48,9,FALSE)</f>
        <v>0</v>
      </c>
      <c r="BH48" s="1">
        <f>VLOOKUP($BF48,$X45:$AF48,8,FALSE)</f>
        <v>0</v>
      </c>
      <c r="BI48" s="1">
        <f>VLOOKUP($BF48,$X45:$AF48,6,FALSE)</f>
        <v>0</v>
      </c>
      <c r="BM48" s="1" t="str">
        <f>BF48</f>
        <v>Sweden</v>
      </c>
      <c r="BN48" s="1">
        <f>VLOOKUP($BM48,$X45:$AF48,2,FALSE)</f>
        <v>0</v>
      </c>
      <c r="BO48" s="1">
        <f>VLOOKUP($BM48,$X45:$AF48,3,FALSE)</f>
        <v>0</v>
      </c>
      <c r="BP48" s="1">
        <f>VLOOKUP($BM48,$X45:$AF48,4,FALSE)</f>
        <v>0</v>
      </c>
      <c r="BQ48" s="1">
        <f>VLOOKUP($BM48,$X45:$AF48,5,FALSE)</f>
        <v>0</v>
      </c>
      <c r="BR48" s="1">
        <f>VLOOKUP($BM48,$X45:$AF48,6,FALSE)</f>
        <v>0</v>
      </c>
      <c r="BS48" s="1">
        <f>VLOOKUP($BM48,$X45:$AF48,7,FALSE)</f>
        <v>0</v>
      </c>
      <c r="BT48" s="1">
        <f>VLOOKUP($BM48,$X45:$AF48,8,FALSE)</f>
        <v>0</v>
      </c>
      <c r="BU48" s="1">
        <f>VLOOKUP($BM48,$X45:$AF48,9,FALSE)</f>
        <v>0</v>
      </c>
    </row>
    <row r="49" spans="2:22" ht="12.75" thickBot="1">
      <c r="B49" s="10">
        <v>41426</v>
      </c>
      <c r="C49" s="11">
        <v>0.8541666666666666</v>
      </c>
      <c r="D49" s="11">
        <f t="shared" si="3"/>
        <v>0.5208333333333333</v>
      </c>
      <c r="E49" s="28" t="s">
        <v>97</v>
      </c>
      <c r="F49" s="13"/>
      <c r="G49" s="14"/>
      <c r="H49" s="12" t="s">
        <v>98</v>
      </c>
      <c r="I49" s="15" t="s">
        <v>63</v>
      </c>
      <c r="J49" s="16" t="s">
        <v>53</v>
      </c>
      <c r="K49" s="1">
        <f t="shared" si="7"/>
      </c>
      <c r="L49" s="1">
        <f t="shared" si="8"/>
      </c>
      <c r="N49" s="7"/>
      <c r="O49" s="8" t="s">
        <v>18</v>
      </c>
      <c r="P49" s="8" t="s">
        <v>19</v>
      </c>
      <c r="Q49" s="8" t="s">
        <v>20</v>
      </c>
      <c r="R49" s="8" t="s">
        <v>21</v>
      </c>
      <c r="S49" s="8" t="s">
        <v>22</v>
      </c>
      <c r="T49" s="8" t="s">
        <v>23</v>
      </c>
      <c r="U49" s="8" t="s">
        <v>24</v>
      </c>
      <c r="V49" s="9" t="s">
        <v>25</v>
      </c>
    </row>
    <row r="50" spans="2:24" ht="12.75" thickBot="1">
      <c r="B50" s="10">
        <v>41426</v>
      </c>
      <c r="C50" s="11">
        <v>0.8541666666666666</v>
      </c>
      <c r="D50" s="11">
        <f t="shared" si="3"/>
        <v>0.5208333333333333</v>
      </c>
      <c r="E50" s="28" t="s">
        <v>99</v>
      </c>
      <c r="F50" s="13"/>
      <c r="G50" s="14"/>
      <c r="H50" s="12" t="s">
        <v>96</v>
      </c>
      <c r="I50" s="15" t="s">
        <v>64</v>
      </c>
      <c r="J50" s="16" t="s">
        <v>53</v>
      </c>
      <c r="K50" s="1">
        <f t="shared" si="7"/>
      </c>
      <c r="L50" s="1">
        <f t="shared" si="8"/>
      </c>
      <c r="N50" s="17" t="str">
        <f aca="true" t="shared" si="11" ref="N50:V53">BM52</f>
        <v>Italy</v>
      </c>
      <c r="O50" s="18">
        <f t="shared" si="11"/>
        <v>0</v>
      </c>
      <c r="P50" s="18">
        <f t="shared" si="11"/>
        <v>0</v>
      </c>
      <c r="Q50" s="18">
        <f t="shared" si="11"/>
        <v>0</v>
      </c>
      <c r="R50" s="18">
        <f t="shared" si="11"/>
        <v>0</v>
      </c>
      <c r="S50" s="18">
        <f t="shared" si="11"/>
        <v>0</v>
      </c>
      <c r="T50" s="18">
        <f t="shared" si="11"/>
        <v>0</v>
      </c>
      <c r="U50" s="18">
        <f t="shared" si="11"/>
        <v>0</v>
      </c>
      <c r="V50" s="19">
        <f t="shared" si="11"/>
        <v>0</v>
      </c>
      <c r="X50" s="1" t="s">
        <v>72</v>
      </c>
    </row>
    <row r="51" spans="2:32" ht="12.75" thickBot="1">
      <c r="B51" s="10">
        <v>41791</v>
      </c>
      <c r="C51" s="11">
        <v>0.6458333333333334</v>
      </c>
      <c r="D51" s="11">
        <f t="shared" si="3"/>
        <v>0.31250000000000006</v>
      </c>
      <c r="E51" s="28" t="s">
        <v>100</v>
      </c>
      <c r="F51" s="13"/>
      <c r="G51" s="14"/>
      <c r="H51" s="12" t="s">
        <v>101</v>
      </c>
      <c r="I51" s="15" t="s">
        <v>65</v>
      </c>
      <c r="J51" s="16" t="s">
        <v>54</v>
      </c>
      <c r="K51" s="1">
        <f>IF(F51&lt;&gt;"",IF(F51&gt;G51,E51,IF(G51&gt;F51,H51,"Draw")),"")</f>
      </c>
      <c r="L51" s="1">
        <f>IF(F51&lt;&gt;"",IF(F51&lt;G51,E51,IF(G51&lt;F51,H51,"Draw")),"")</f>
      </c>
      <c r="N51" s="17" t="str">
        <f t="shared" si="11"/>
        <v>Ecuador</v>
      </c>
      <c r="O51" s="18">
        <f t="shared" si="11"/>
        <v>0</v>
      </c>
      <c r="P51" s="18">
        <f t="shared" si="11"/>
        <v>0</v>
      </c>
      <c r="Q51" s="18">
        <f t="shared" si="11"/>
        <v>0</v>
      </c>
      <c r="R51" s="18">
        <f t="shared" si="11"/>
        <v>0</v>
      </c>
      <c r="S51" s="18">
        <f t="shared" si="11"/>
        <v>0</v>
      </c>
      <c r="T51" s="18">
        <f t="shared" si="11"/>
        <v>0</v>
      </c>
      <c r="U51" s="18">
        <f t="shared" si="11"/>
        <v>0</v>
      </c>
      <c r="V51" s="19">
        <f t="shared" si="11"/>
        <v>0</v>
      </c>
      <c r="Y51" s="1" t="s">
        <v>27</v>
      </c>
      <c r="Z51" s="1" t="s">
        <v>19</v>
      </c>
      <c r="AA51" s="1" t="s">
        <v>20</v>
      </c>
      <c r="AB51" s="1" t="s">
        <v>21</v>
      </c>
      <c r="AC51" s="1" t="s">
        <v>22</v>
      </c>
      <c r="AD51" s="1" t="s">
        <v>23</v>
      </c>
      <c r="AE51" s="1" t="s">
        <v>24</v>
      </c>
      <c r="AF51" s="1" t="s">
        <v>28</v>
      </c>
    </row>
    <row r="52" spans="2:73" ht="12.75" thickBot="1">
      <c r="B52" s="10">
        <v>41791</v>
      </c>
      <c r="C52" s="11">
        <v>0.6458333333333334</v>
      </c>
      <c r="D52" s="11">
        <f t="shared" si="3"/>
        <v>0.31250000000000006</v>
      </c>
      <c r="E52" s="28" t="s">
        <v>102</v>
      </c>
      <c r="F52" s="13"/>
      <c r="G52" s="14"/>
      <c r="H52" s="12" t="s">
        <v>55</v>
      </c>
      <c r="I52" s="15" t="s">
        <v>66</v>
      </c>
      <c r="J52" s="16" t="s">
        <v>54</v>
      </c>
      <c r="K52" s="1">
        <f>IF(F52&lt;&gt;"",IF(F52&gt;G52,E52,IF(G52&gt;F52,H52,"Draw")),"")</f>
      </c>
      <c r="L52" s="1">
        <f>IF(F52&lt;&gt;"",IF(F52&lt;G52,E52,IF(G52&lt;F52,H52,"Draw")),"")</f>
      </c>
      <c r="N52" s="17" t="str">
        <f t="shared" si="11"/>
        <v>Croatia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>
        <f t="shared" si="11"/>
        <v>0</v>
      </c>
      <c r="S52" s="18">
        <f t="shared" si="11"/>
        <v>0</v>
      </c>
      <c r="T52" s="18">
        <f t="shared" si="11"/>
        <v>0</v>
      </c>
      <c r="U52" s="18">
        <f t="shared" si="11"/>
        <v>0</v>
      </c>
      <c r="V52" s="19">
        <f t="shared" si="11"/>
        <v>0</v>
      </c>
      <c r="X52" s="1" t="s">
        <v>96</v>
      </c>
      <c r="Y52" s="1">
        <f>COUNT(Italy_Played)</f>
        <v>0</v>
      </c>
      <c r="Z52" s="1">
        <f>COUNTIF(Groupstage_Winners,"Italy")</f>
        <v>0</v>
      </c>
      <c r="AA52" s="1">
        <f>COUNTIF(Groupstage_Losers,"Italy")</f>
        <v>0</v>
      </c>
      <c r="AB52" s="1">
        <f>Y52-(Z52+AA52)</f>
        <v>0</v>
      </c>
      <c r="AC52" s="1">
        <f>SUM(Italy_Played)</f>
        <v>0</v>
      </c>
      <c r="AD52" s="1">
        <f>SUM(Italy_Against)</f>
        <v>0</v>
      </c>
      <c r="AE52" s="1">
        <f>AC52-AD52</f>
        <v>0</v>
      </c>
      <c r="AF52" s="1">
        <f>Z52*Winpoints+AB52*Drawpoints</f>
        <v>0</v>
      </c>
      <c r="AG52" s="1" t="str">
        <f>IF($AF52&gt;=$AF53,$X52,$X53)</f>
        <v>Italy</v>
      </c>
      <c r="AH52" s="1">
        <f>VLOOKUP($AG52,$X52:$AF55,9,FALSE)</f>
        <v>0</v>
      </c>
      <c r="AI52" s="1" t="str">
        <f>IF($AH52&gt;=$AH54,$AG52,$AG54)</f>
        <v>Italy</v>
      </c>
      <c r="AJ52" s="1">
        <f>VLOOKUP($AI52,$X52:$AF55,9,FALSE)</f>
        <v>0</v>
      </c>
      <c r="AK52" s="1" t="str">
        <f>IF($AJ52&gt;=$AJ55,$AI52,$AI55)</f>
        <v>Italy</v>
      </c>
      <c r="AL52" s="1">
        <f>VLOOKUP($AK52,$X52:$AF55,9,FALSE)</f>
        <v>0</v>
      </c>
      <c r="AM52" s="1">
        <f>VLOOKUP($AK52,$X52:$AF55,8,FALSE)</f>
        <v>0</v>
      </c>
      <c r="AN52" s="1" t="str">
        <f>IF(AND($AL52=$AL53,$AM53&gt;$AM52),$AK53,$AK52)</f>
        <v>Italy</v>
      </c>
      <c r="AO52" s="1">
        <f>VLOOKUP($AN52,$X52:$AF55,9,FALSE)</f>
        <v>0</v>
      </c>
      <c r="AP52" s="1">
        <f>VLOOKUP($AN52,$X52:$AF55,8,FALSE)</f>
        <v>0</v>
      </c>
      <c r="AQ52" s="1" t="str">
        <f>IF(AND($AO52=$AO54,$AP54&gt;$AP52),$AN54,$AN52)</f>
        <v>Italy</v>
      </c>
      <c r="AR52" s="1">
        <f>VLOOKUP($AQ52,$X52:$AF55,9,FALSE)</f>
        <v>0</v>
      </c>
      <c r="AS52" s="1">
        <f>VLOOKUP($AQ52,$X52:$AF55,8,FALSE)</f>
        <v>0</v>
      </c>
      <c r="AT52" s="1" t="str">
        <f>IF(AND($AR52=$AR55,$AS55&gt;$AS52),$AQ55,$AQ52)</f>
        <v>Italy</v>
      </c>
      <c r="AU52" s="1">
        <f>VLOOKUP($AT52,$X52:$AF55,9,FALSE)</f>
        <v>0</v>
      </c>
      <c r="AV52" s="1">
        <f>VLOOKUP($AT52,$X52:$AF55,8,FALSE)</f>
        <v>0</v>
      </c>
      <c r="AW52" s="1">
        <f>VLOOKUP($AT52,$X52:$AF55,6,FALSE)</f>
        <v>0</v>
      </c>
      <c r="AX52" s="1" t="str">
        <f>IF(AND($AU52=$AU53,$AV52=$AV53,$AW53&gt;$AW52),$AT53,$AT52)</f>
        <v>Italy</v>
      </c>
      <c r="AY52" s="1">
        <f>VLOOKUP($AX52,$X52:$AF55,9,FALSE)</f>
        <v>0</v>
      </c>
      <c r="AZ52" s="1">
        <f>VLOOKUP($AX52,$X52:$AF55,8,FALSE)</f>
        <v>0</v>
      </c>
      <c r="BA52" s="1">
        <f>VLOOKUP($AX52,$X52:$AF55,6,FALSE)</f>
        <v>0</v>
      </c>
      <c r="BB52" s="1" t="str">
        <f>IF(AND($AY52=$AY54,$AZ52=$AZ54,$BA54&gt;$BA52),$AX54,$AX52)</f>
        <v>Italy</v>
      </c>
      <c r="BC52" s="1">
        <f>VLOOKUP($BB52,$X52:$AF55,9,FALSE)</f>
        <v>0</v>
      </c>
      <c r="BD52" s="1">
        <f>VLOOKUP($BB52,$X52:$AF55,8,FALSE)</f>
        <v>0</v>
      </c>
      <c r="BE52" s="1">
        <f>VLOOKUP($BB52,$X52:$AF55,6,FALSE)</f>
        <v>0</v>
      </c>
      <c r="BF52" s="1" t="str">
        <f>IF(AND($BC52=$BC55,$BD52=$BD55,$BE55&gt;$BE52),$BB55,$BB52)</f>
        <v>Italy</v>
      </c>
      <c r="BG52" s="1">
        <f>VLOOKUP($BF52,$X52:$AF55,9,FALSE)</f>
        <v>0</v>
      </c>
      <c r="BH52" s="1">
        <f>VLOOKUP($BF52,$X52:$AF55,8,FALSE)</f>
        <v>0</v>
      </c>
      <c r="BI52" s="1">
        <f>VLOOKUP($BF52,$X52:$AF55,6,FALSE)</f>
        <v>0</v>
      </c>
      <c r="BM52" s="1" t="str">
        <f>BF52</f>
        <v>Italy</v>
      </c>
      <c r="BN52" s="1">
        <f>VLOOKUP($BM52,$X52:$AF55,2,FALSE)</f>
        <v>0</v>
      </c>
      <c r="BO52" s="1">
        <f>VLOOKUP($BM52,$X52:$AF55,3,FALSE)</f>
        <v>0</v>
      </c>
      <c r="BP52" s="1">
        <f>VLOOKUP($BM52,$X52:$AF55,4,FALSE)</f>
        <v>0</v>
      </c>
      <c r="BQ52" s="1">
        <f>VLOOKUP($BM52,$X52:$AF55,5,FALSE)</f>
        <v>0</v>
      </c>
      <c r="BR52" s="1">
        <f>VLOOKUP($BM52,$X52:$AF55,6,FALSE)</f>
        <v>0</v>
      </c>
      <c r="BS52" s="1">
        <f>VLOOKUP($BM52,$X52:$AF55,7,FALSE)</f>
        <v>0</v>
      </c>
      <c r="BT52" s="1">
        <f>VLOOKUP($BM52,$X52:$AF55,8,FALSE)</f>
        <v>0</v>
      </c>
      <c r="BU52" s="1">
        <f>VLOOKUP($BM52,$X52:$AF55,9,FALSE)</f>
        <v>0</v>
      </c>
    </row>
    <row r="53" spans="2:73" ht="12.75" thickBot="1">
      <c r="B53" s="10">
        <v>41791</v>
      </c>
      <c r="C53" s="11">
        <v>0.8541666666666666</v>
      </c>
      <c r="D53" s="11">
        <f t="shared" si="3"/>
        <v>0.5208333333333333</v>
      </c>
      <c r="E53" s="28" t="s">
        <v>85</v>
      </c>
      <c r="F53" s="13"/>
      <c r="G53" s="14"/>
      <c r="H53" s="12" t="s">
        <v>86</v>
      </c>
      <c r="I53" s="15" t="s">
        <v>67</v>
      </c>
      <c r="J53" s="16" t="s">
        <v>21</v>
      </c>
      <c r="K53" s="1">
        <f>IF(F53&lt;&gt;"",IF(F53&gt;G53,E53,IF(G53&gt;F53,H53,"Draw")),"")</f>
      </c>
      <c r="L53" s="1">
        <f>IF(F53&lt;&gt;"",IF(F53&lt;G53,E53,IF(G53&lt;F53,H53,"Draw")),"")</f>
      </c>
      <c r="N53" s="20" t="str">
        <f t="shared" si="11"/>
        <v>Mexico</v>
      </c>
      <c r="O53" s="21">
        <f t="shared" si="11"/>
        <v>0</v>
      </c>
      <c r="P53" s="21">
        <f t="shared" si="11"/>
        <v>0</v>
      </c>
      <c r="Q53" s="21">
        <f t="shared" si="11"/>
        <v>0</v>
      </c>
      <c r="R53" s="21">
        <f t="shared" si="11"/>
        <v>0</v>
      </c>
      <c r="S53" s="21">
        <f t="shared" si="11"/>
        <v>0</v>
      </c>
      <c r="T53" s="21">
        <f t="shared" si="11"/>
        <v>0</v>
      </c>
      <c r="U53" s="21">
        <f t="shared" si="11"/>
        <v>0</v>
      </c>
      <c r="V53" s="22">
        <f t="shared" si="11"/>
        <v>0</v>
      </c>
      <c r="X53" s="1" t="s">
        <v>97</v>
      </c>
      <c r="Y53" s="1">
        <f>COUNT(Ecuador_Played)</f>
        <v>0</v>
      </c>
      <c r="Z53" s="1">
        <f>COUNTIF(Groupstage_Winners,"Ecuador")</f>
        <v>0</v>
      </c>
      <c r="AA53" s="1">
        <f>COUNTIF(Groupstage_Losers,"Ecuador")</f>
        <v>0</v>
      </c>
      <c r="AB53" s="1">
        <f>Y53-(Z53+AA53)</f>
        <v>0</v>
      </c>
      <c r="AC53" s="1">
        <f>SUM(Ecuador_Played)</f>
        <v>0</v>
      </c>
      <c r="AD53" s="1">
        <f>SUM(Ecuador_Against)</f>
        <v>0</v>
      </c>
      <c r="AE53" s="1">
        <f>AC53-AD53</f>
        <v>0</v>
      </c>
      <c r="AF53" s="1">
        <f>Z53*Winpoints+AB53*Drawpoints</f>
        <v>0</v>
      </c>
      <c r="AG53" s="1" t="str">
        <f>IF($AF53&lt;=$AF52,$X53,$X52)</f>
        <v>Ecuador</v>
      </c>
      <c r="AH53" s="1">
        <f>VLOOKUP($AG53,$X52:$AF55,9,FALSE)</f>
        <v>0</v>
      </c>
      <c r="AI53" s="1" t="str">
        <f>IF(AH53&gt;=AH55,AG53,AG55)</f>
        <v>Ecuador</v>
      </c>
      <c r="AJ53" s="1">
        <f>VLOOKUP($AI53,$X52:$AF55,9,FALSE)</f>
        <v>0</v>
      </c>
      <c r="AK53" s="1" t="str">
        <f>IF($AJ53&gt;=$AJ54,$AI53,$AI54)</f>
        <v>Ecuador</v>
      </c>
      <c r="AL53" s="1">
        <f>VLOOKUP($AK53,$X52:$AF55,9,FALSE)</f>
        <v>0</v>
      </c>
      <c r="AM53" s="1">
        <f>VLOOKUP($AK53,$X52:$AF55,8,FALSE)</f>
        <v>0</v>
      </c>
      <c r="AN53" s="1" t="str">
        <f>IF(AND($AL52=$AL53,$AM53&gt;$AM52),$AK52,$AK53)</f>
        <v>Ecuador</v>
      </c>
      <c r="AO53" s="1">
        <f>VLOOKUP($AN53,$X52:$AF55,9,FALSE)</f>
        <v>0</v>
      </c>
      <c r="AP53" s="1">
        <f>VLOOKUP($AN53,$X52:$AF55,8,FALSE)</f>
        <v>0</v>
      </c>
      <c r="AQ53" s="1" t="str">
        <f>IF(AND($AO53=$AO55,$AP55&gt;$AP53),$AN55,$AN53)</f>
        <v>Ecuador</v>
      </c>
      <c r="AR53" s="1">
        <f>VLOOKUP($AQ53,$X52:$AF55,9,FALSE)</f>
        <v>0</v>
      </c>
      <c r="AS53" s="1">
        <f>VLOOKUP($AQ53,$X52:$AF55,8,FALSE)</f>
        <v>0</v>
      </c>
      <c r="AT53" s="1" t="str">
        <f>IF(AND($AR53=$AR54,$AS54&gt;$AS53),$AQ54,$AQ53)</f>
        <v>Ecuador</v>
      </c>
      <c r="AU53" s="1">
        <f>VLOOKUP($AT53,$X52:$AF55,9,FALSE)</f>
        <v>0</v>
      </c>
      <c r="AV53" s="1">
        <f>VLOOKUP($AT53,$X52:$AF55,8,FALSE)</f>
        <v>0</v>
      </c>
      <c r="AW53" s="1">
        <f>VLOOKUP($AT53,$X52:$AF55,6,FALSE)</f>
        <v>0</v>
      </c>
      <c r="AX53" s="1" t="str">
        <f>IF(AND($AU52=$AU53,$AV52=$AV53,$AW53&gt;$AW52),$AT52,$AT53)</f>
        <v>Ecuador</v>
      </c>
      <c r="AY53" s="1">
        <f>VLOOKUP($AX53,$X52:$AF55,9,FALSE)</f>
        <v>0</v>
      </c>
      <c r="AZ53" s="1">
        <f>VLOOKUP($AX53,$X52:$AF55,8,FALSE)</f>
        <v>0</v>
      </c>
      <c r="BA53" s="1">
        <f>VLOOKUP($AX53,$X52:$AF55,6,FALSE)</f>
        <v>0</v>
      </c>
      <c r="BB53" s="1" t="str">
        <f>IF(AND($AY53=$AY55,$AZ53=$AZ55,$BA55&gt;$BA53),$AX55,$AX53)</f>
        <v>Ecuador</v>
      </c>
      <c r="BC53" s="1">
        <f>VLOOKUP($BB53,$X52:$AF55,9,FALSE)</f>
        <v>0</v>
      </c>
      <c r="BD53" s="1">
        <f>VLOOKUP($BB53,$X52:$AF55,8,FALSE)</f>
        <v>0</v>
      </c>
      <c r="BE53" s="1">
        <f>VLOOKUP($BB53,$X52:$AF55,6,FALSE)</f>
        <v>0</v>
      </c>
      <c r="BF53" s="1" t="str">
        <f>IF(AND($BC53=$BC54,$BD53=$BD54,$BE54&gt;$BE53),$BB54,$BB53)</f>
        <v>Ecuador</v>
      </c>
      <c r="BG53" s="1">
        <f>VLOOKUP($BF53,$X52:$AF55,9,FALSE)</f>
        <v>0</v>
      </c>
      <c r="BH53" s="1">
        <f>VLOOKUP($BF53,$X52:$AF55,8,FALSE)</f>
        <v>0</v>
      </c>
      <c r="BI53" s="1">
        <f>VLOOKUP($BF53,$X52:$AF55,6,FALSE)</f>
        <v>0</v>
      </c>
      <c r="BM53" s="1" t="str">
        <f>BF53</f>
        <v>Ecuador</v>
      </c>
      <c r="BN53" s="1">
        <f>VLOOKUP($BM53,$X52:$AF55,2,FALSE)</f>
        <v>0</v>
      </c>
      <c r="BO53" s="1">
        <f>VLOOKUP($BM53,$X52:$AF55,3,FALSE)</f>
        <v>0</v>
      </c>
      <c r="BP53" s="1">
        <f>VLOOKUP($BM53,$X52:$AF55,4,FALSE)</f>
        <v>0</v>
      </c>
      <c r="BQ53" s="1">
        <f>VLOOKUP($BM53,$X52:$AF55,5,FALSE)</f>
        <v>0</v>
      </c>
      <c r="BR53" s="1">
        <f>VLOOKUP($BM53,$X52:$AF55,6,FALSE)</f>
        <v>0</v>
      </c>
      <c r="BS53" s="1">
        <f>VLOOKUP($BM53,$X52:$AF55,7,FALSE)</f>
        <v>0</v>
      </c>
      <c r="BT53" s="1">
        <f>VLOOKUP($BM53,$X52:$AF55,8,FALSE)</f>
        <v>0</v>
      </c>
      <c r="BU53" s="1">
        <f>VLOOKUP($BM53,$X52:$AF55,9,FALSE)</f>
        <v>0</v>
      </c>
    </row>
    <row r="54" spans="2:73" ht="12.75" thickBot="1">
      <c r="B54" s="10">
        <v>41791</v>
      </c>
      <c r="C54" s="11">
        <v>0.8541666666666666</v>
      </c>
      <c r="D54" s="11">
        <f t="shared" si="3"/>
        <v>0.5208333333333333</v>
      </c>
      <c r="E54" s="28" t="s">
        <v>87</v>
      </c>
      <c r="F54" s="13"/>
      <c r="G54" s="14"/>
      <c r="H54" s="12" t="s">
        <v>52</v>
      </c>
      <c r="I54" s="15" t="s">
        <v>61</v>
      </c>
      <c r="J54" s="16" t="s">
        <v>21</v>
      </c>
      <c r="K54" s="1">
        <f>IF(F54&lt;&gt;"",IF(F54&gt;G54,E54,IF(G54&gt;F54,H54,"Draw")),"")</f>
      </c>
      <c r="L54" s="1">
        <f>IF(F54&lt;&gt;"",IF(F54&lt;G54,E54,IF(G54&lt;F54,H54,"Draw")),"")</f>
      </c>
      <c r="X54" s="1" t="s">
        <v>98</v>
      </c>
      <c r="Y54" s="1">
        <f>COUNT(Croatia_Played)</f>
        <v>0</v>
      </c>
      <c r="Z54" s="1">
        <f>COUNTIF(Groupstage_Winners,"Croatia")</f>
        <v>0</v>
      </c>
      <c r="AA54" s="1">
        <f>COUNTIF(Groupstage_Losers,"Croatia")</f>
        <v>0</v>
      </c>
      <c r="AB54" s="1">
        <f>Y54-(Z54+AA54)</f>
        <v>0</v>
      </c>
      <c r="AC54" s="1">
        <f>SUM(Croatia_Played)</f>
        <v>0</v>
      </c>
      <c r="AD54" s="1">
        <f>SUM(Croatia_Against)</f>
        <v>0</v>
      </c>
      <c r="AE54" s="1">
        <f>AC54-AD54</f>
        <v>0</v>
      </c>
      <c r="AF54" s="1">
        <f>Z54*Winpoints+AB54*Drawpoints</f>
        <v>0</v>
      </c>
      <c r="AG54" s="1" t="str">
        <f>IF($AF54&gt;=$AF55,$X54,$X55)</f>
        <v>Croatia</v>
      </c>
      <c r="AH54" s="1">
        <f>VLOOKUP($AG54,$X52:$AF55,9,FALSE)</f>
        <v>0</v>
      </c>
      <c r="AI54" s="1" t="str">
        <f>IF($AH54&lt;=$AH52,$AG54,$AG52)</f>
        <v>Croatia</v>
      </c>
      <c r="AJ54" s="1">
        <f>VLOOKUP($AI54,$X52:$AF55,9,FALSE)</f>
        <v>0</v>
      </c>
      <c r="AK54" s="1" t="str">
        <f>IF($AJ54&lt;=$AJ53,$AI54,$AI53)</f>
        <v>Croatia</v>
      </c>
      <c r="AL54" s="1">
        <f>VLOOKUP($AK54,$X52:$AF55,9,FALSE)</f>
        <v>0</v>
      </c>
      <c r="AM54" s="1">
        <f>VLOOKUP($AK54,$X52:$AF55,8,FALSE)</f>
        <v>0</v>
      </c>
      <c r="AN54" s="1" t="str">
        <f>IF(AND($AL54=$AL55,$AM55&gt;$AM54),$AK55,$AK54)</f>
        <v>Croatia</v>
      </c>
      <c r="AO54" s="1">
        <f>VLOOKUP($AN54,$X52:$AF55,9,FALSE)</f>
        <v>0</v>
      </c>
      <c r="AP54" s="1">
        <f>VLOOKUP($AN54,$X52:$AF55,8,FALSE)</f>
        <v>0</v>
      </c>
      <c r="AQ54" s="1" t="str">
        <f>IF(AND($AO52=$AO54,$AP54&gt;$AP52),$AN52,$AN54)</f>
        <v>Croatia</v>
      </c>
      <c r="AR54" s="1">
        <f>VLOOKUP($AQ54,$X52:$AF55,9,FALSE)</f>
        <v>0</v>
      </c>
      <c r="AS54" s="1">
        <f>VLOOKUP($AQ54,$X52:$AF55,8,FALSE)</f>
        <v>0</v>
      </c>
      <c r="AT54" s="1" t="str">
        <f>IF(AND($AR53=$AR54,$AS54&gt;$AS53),$AQ53,$AQ54)</f>
        <v>Croatia</v>
      </c>
      <c r="AU54" s="1">
        <f>VLOOKUP($AT54,$X52:$AF55,9,FALSE)</f>
        <v>0</v>
      </c>
      <c r="AV54" s="1">
        <f>VLOOKUP($AT54,$X52:$AF55,8,FALSE)</f>
        <v>0</v>
      </c>
      <c r="AW54" s="1">
        <f>VLOOKUP($AT54,$X52:$AF55,6,FALSE)</f>
        <v>0</v>
      </c>
      <c r="AX54" s="1" t="str">
        <f>IF(AND($AU54=$AU55,$AV54=$AV55,$AW55&gt;$AW54),$AT55,$AT54)</f>
        <v>Croatia</v>
      </c>
      <c r="AY54" s="1">
        <f>VLOOKUP($AX54,$X52:$AF55,9,FALSE)</f>
        <v>0</v>
      </c>
      <c r="AZ54" s="1">
        <f>VLOOKUP($AX54,$X52:$AF55,8,FALSE)</f>
        <v>0</v>
      </c>
      <c r="BA54" s="1">
        <f>VLOOKUP($AX54,$X52:$AF55,6,FALSE)</f>
        <v>0</v>
      </c>
      <c r="BB54" s="1" t="str">
        <f>IF(AND($AY52=$AY54,$AZ52=$AZ54,$BA53&gt;$BA52),$AX52,$AX54)</f>
        <v>Croatia</v>
      </c>
      <c r="BC54" s="1">
        <f>VLOOKUP($BB54,$X52:$AF55,9,FALSE)</f>
        <v>0</v>
      </c>
      <c r="BD54" s="1">
        <f>VLOOKUP($BB54,$X52:$AF55,8,FALSE)</f>
        <v>0</v>
      </c>
      <c r="BE54" s="1">
        <f>VLOOKUP($BB54,$X52:$AF55,6,FALSE)</f>
        <v>0</v>
      </c>
      <c r="BF54" s="1" t="str">
        <f>IF(AND($BC53=$BC54,$BD53=$BD54,$BE54&gt;$BE53),$BB53,$BB54)</f>
        <v>Croatia</v>
      </c>
      <c r="BG54" s="1">
        <f>VLOOKUP($BF54,$X52:$AF55,9,FALSE)</f>
        <v>0</v>
      </c>
      <c r="BH54" s="1">
        <f>VLOOKUP($BF54,$X52:$AF55,8,FALSE)</f>
        <v>0</v>
      </c>
      <c r="BI54" s="1">
        <f>VLOOKUP($BF54,$X52:$AF55,6,FALSE)</f>
        <v>0</v>
      </c>
      <c r="BM54" s="1" t="str">
        <f>BF54</f>
        <v>Croatia</v>
      </c>
      <c r="BN54" s="1">
        <f>VLOOKUP($BM54,$X52:$AF55,2,FALSE)</f>
        <v>0</v>
      </c>
      <c r="BO54" s="1">
        <f>VLOOKUP($BM54,$X52:$AF55,3,FALSE)</f>
        <v>0</v>
      </c>
      <c r="BP54" s="1">
        <f>VLOOKUP($BM54,$X52:$AF55,4,FALSE)</f>
        <v>0</v>
      </c>
      <c r="BQ54" s="1">
        <f>VLOOKUP($BM54,$X52:$AF55,5,FALSE)</f>
        <v>0</v>
      </c>
      <c r="BR54" s="1">
        <f>VLOOKUP($BM54,$X52:$AF55,6,FALSE)</f>
        <v>0</v>
      </c>
      <c r="BS54" s="1">
        <f>VLOOKUP($BM54,$X52:$AF55,7,FALSE)</f>
        <v>0</v>
      </c>
      <c r="BT54" s="1">
        <f>VLOOKUP($BM54,$X52:$AF55,8,FALSE)</f>
        <v>0</v>
      </c>
      <c r="BU54" s="1">
        <f>VLOOKUP($BM54,$X52:$AF55,9,FALSE)</f>
        <v>0</v>
      </c>
    </row>
    <row r="55" spans="14:73" ht="15.75">
      <c r="N55" s="2" t="s">
        <v>73</v>
      </c>
      <c r="O55" s="3"/>
      <c r="P55" s="3"/>
      <c r="Q55" s="3"/>
      <c r="R55" s="3"/>
      <c r="S55" s="3"/>
      <c r="T55" s="3"/>
      <c r="U55" s="3"/>
      <c r="V55" s="4"/>
      <c r="X55" s="1" t="s">
        <v>99</v>
      </c>
      <c r="Y55" s="1">
        <f>COUNT(Mexico_Played)</f>
        <v>0</v>
      </c>
      <c r="Z55" s="1">
        <f>COUNTIF(Groupstage_Winners,"Mexico")</f>
        <v>0</v>
      </c>
      <c r="AA55" s="1">
        <f>COUNTIF(Groupstage_Losers,"Mexico")</f>
        <v>0</v>
      </c>
      <c r="AB55" s="1">
        <f>Y55-(Z55+AA55)</f>
        <v>0</v>
      </c>
      <c r="AC55" s="1">
        <f>SUM(Mexico_Played)</f>
        <v>0</v>
      </c>
      <c r="AD55" s="1">
        <f>SUM(Mexico_Against)</f>
        <v>0</v>
      </c>
      <c r="AE55" s="1">
        <f>AC55-AD55</f>
        <v>0</v>
      </c>
      <c r="AF55" s="1">
        <f>Z55*Winpoints+AB55*Drawpoints</f>
        <v>0</v>
      </c>
      <c r="AG55" s="1" t="str">
        <f>IF($AF55&lt;=$AF54,$X55,$X54)</f>
        <v>Mexico</v>
      </c>
      <c r="AH55" s="1">
        <f>VLOOKUP($AG55,$X52:$AF55,9,FALSE)</f>
        <v>0</v>
      </c>
      <c r="AI55" s="1" t="str">
        <f>IF(AH55&lt;=AH53,AG55,AG53)</f>
        <v>Mexico</v>
      </c>
      <c r="AJ55" s="1">
        <f>VLOOKUP($AI55,$X52:$AF55,9,FALSE)</f>
        <v>0</v>
      </c>
      <c r="AK55" s="1" t="str">
        <f>IF($AJ55&lt;=$AJ52,$AI55,$AI52)</f>
        <v>Mexico</v>
      </c>
      <c r="AL55" s="1">
        <f>VLOOKUP($AK55,$X52:$AF55,9,FALSE)</f>
        <v>0</v>
      </c>
      <c r="AM55" s="1">
        <f>VLOOKUP($AK55,$X52:$AF55,8,FALSE)</f>
        <v>0</v>
      </c>
      <c r="AN55" s="1" t="str">
        <f>IF(AND($AL54=$AL55,$AM55&gt;$AM54),$AK54,$AK55)</f>
        <v>Mexico</v>
      </c>
      <c r="AO55" s="1">
        <f>VLOOKUP($AN55,$X52:$AF55,9,FALSE)</f>
        <v>0</v>
      </c>
      <c r="AP55" s="1">
        <f>VLOOKUP($AN55,$X52:$AF55,8,FALSE)</f>
        <v>0</v>
      </c>
      <c r="AQ55" s="1" t="str">
        <f>IF(AND($AO53=$AO55,$AP55&gt;$AP53),$AN53,$AN55)</f>
        <v>Mexico</v>
      </c>
      <c r="AR55" s="1">
        <f>VLOOKUP($AQ55,$X52:$AF55,9,FALSE)</f>
        <v>0</v>
      </c>
      <c r="AS55" s="1">
        <f>VLOOKUP($AQ55,$X52:$AF55,8,FALSE)</f>
        <v>0</v>
      </c>
      <c r="AT55" s="1" t="str">
        <f>IF(AND($AR52=$AR55,$AS55&gt;$AS52),$AQ52,$AQ55)</f>
        <v>Mexico</v>
      </c>
      <c r="AU55" s="1">
        <f>VLOOKUP($AT55,$X52:$AF55,9,FALSE)</f>
        <v>0</v>
      </c>
      <c r="AV55" s="1">
        <f>VLOOKUP($AT55,$X52:$AF55,8,FALSE)</f>
        <v>0</v>
      </c>
      <c r="AW55" s="1">
        <f>VLOOKUP($AT55,$X52:$AF55,6,FALSE)</f>
        <v>0</v>
      </c>
      <c r="AX55" s="1" t="str">
        <f>IF(AND($AU54=$AU55,$AV54=$AV55,$AW55&gt;$AW54),$AT54,$AT55)</f>
        <v>Mexico</v>
      </c>
      <c r="AY55" s="1">
        <f>VLOOKUP($AX55,$X52:$AF55,9,FALSE)</f>
        <v>0</v>
      </c>
      <c r="AZ55" s="1">
        <f>VLOOKUP($AX55,$X52:$AF55,8,FALSE)</f>
        <v>0</v>
      </c>
      <c r="BA55" s="1">
        <f>VLOOKUP($AX55,$X52:$AF55,6,FALSE)</f>
        <v>0</v>
      </c>
      <c r="BB55" s="1" t="str">
        <f>IF(AND($AY53=$AY55,$AZ53=$AZ55,$BA55&gt;$BA53),$AX53,$AX55)</f>
        <v>Mexico</v>
      </c>
      <c r="BC55" s="1">
        <f>VLOOKUP($BB55,$X52:$AF55,9,FALSE)</f>
        <v>0</v>
      </c>
      <c r="BD55" s="1">
        <f>VLOOKUP($BB55,$X52:$AF55,8,FALSE)</f>
        <v>0</v>
      </c>
      <c r="BE55" s="1">
        <f>VLOOKUP($BB55,$X52:$AF55,6,FALSE)</f>
        <v>0</v>
      </c>
      <c r="BF55" s="1" t="str">
        <f>IF(AND($BC52=$BC55,$BD52=$BD55,$BE55&gt;$BE52),$BB52,$BB55)</f>
        <v>Mexico</v>
      </c>
      <c r="BG55" s="1">
        <f>VLOOKUP($BF55,$X52:$AF55,9,FALSE)</f>
        <v>0</v>
      </c>
      <c r="BH55" s="1">
        <f>VLOOKUP($BF55,$X52:$AF55,8,FALSE)</f>
        <v>0</v>
      </c>
      <c r="BI55" s="1">
        <f>VLOOKUP($BF55,$X52:$AF55,6,FALSE)</f>
        <v>0</v>
      </c>
      <c r="BM55" s="1" t="str">
        <f>BF55</f>
        <v>Mexico</v>
      </c>
      <c r="BN55" s="1">
        <f>VLOOKUP($BM55,$X52:$AF55,2,FALSE)</f>
        <v>0</v>
      </c>
      <c r="BO55" s="1">
        <f>VLOOKUP($BM55,$X52:$AF55,3,FALSE)</f>
        <v>0</v>
      </c>
      <c r="BP55" s="1">
        <f>VLOOKUP($BM55,$X52:$AF55,4,FALSE)</f>
        <v>0</v>
      </c>
      <c r="BQ55" s="1">
        <f>VLOOKUP($BM55,$X52:$AF55,5,FALSE)</f>
        <v>0</v>
      </c>
      <c r="BR55" s="1">
        <f>VLOOKUP($BM55,$X52:$AF55,6,FALSE)</f>
        <v>0</v>
      </c>
      <c r="BS55" s="1">
        <f>VLOOKUP($BM55,$X52:$AF55,7,FALSE)</f>
        <v>0</v>
      </c>
      <c r="BT55" s="1">
        <f>VLOOKUP($BM55,$X52:$AF55,8,FALSE)</f>
        <v>0</v>
      </c>
      <c r="BU55" s="1">
        <f>VLOOKUP($BM55,$X52:$AF55,9,FALSE)</f>
        <v>0</v>
      </c>
    </row>
    <row r="56" spans="14:22" ht="12">
      <c r="N56" s="7"/>
      <c r="O56" s="8" t="s">
        <v>18</v>
      </c>
      <c r="P56" s="8" t="s">
        <v>19</v>
      </c>
      <c r="Q56" s="8" t="s">
        <v>20</v>
      </c>
      <c r="R56" s="8" t="s">
        <v>21</v>
      </c>
      <c r="S56" s="8" t="s">
        <v>22</v>
      </c>
      <c r="T56" s="8" t="s">
        <v>23</v>
      </c>
      <c r="U56" s="8" t="s">
        <v>24</v>
      </c>
      <c r="V56" s="9" t="s">
        <v>25</v>
      </c>
    </row>
    <row r="57" spans="2:24" ht="15.75">
      <c r="B57" s="30" t="s">
        <v>68</v>
      </c>
      <c r="C57" s="31"/>
      <c r="D57" s="31"/>
      <c r="E57" s="31"/>
      <c r="F57" s="31"/>
      <c r="G57" s="31"/>
      <c r="H57" s="31"/>
      <c r="I57" s="31"/>
      <c r="J57" s="32"/>
      <c r="N57" s="17" t="str">
        <f aca="true" t="shared" si="12" ref="N57:V60">BM59</f>
        <v>Japan</v>
      </c>
      <c r="O57" s="18">
        <f t="shared" si="12"/>
        <v>0</v>
      </c>
      <c r="P57" s="18">
        <f t="shared" si="12"/>
        <v>0</v>
      </c>
      <c r="Q57" s="18">
        <f t="shared" si="12"/>
        <v>0</v>
      </c>
      <c r="R57" s="18">
        <f t="shared" si="12"/>
        <v>0</v>
      </c>
      <c r="S57" s="18">
        <f t="shared" si="12"/>
        <v>0</v>
      </c>
      <c r="T57" s="18">
        <f t="shared" si="12"/>
        <v>0</v>
      </c>
      <c r="U57" s="18">
        <f t="shared" si="12"/>
        <v>0</v>
      </c>
      <c r="V57" s="19">
        <f t="shared" si="12"/>
        <v>0</v>
      </c>
      <c r="X57" s="1" t="s">
        <v>73</v>
      </c>
    </row>
    <row r="58" spans="2:32" ht="15.75">
      <c r="B58" s="34" t="s">
        <v>14</v>
      </c>
      <c r="C58" s="35" t="s">
        <v>15</v>
      </c>
      <c r="D58" s="35" t="s">
        <v>103</v>
      </c>
      <c r="E58" s="36"/>
      <c r="F58" s="36"/>
      <c r="G58" s="36"/>
      <c r="H58" s="36"/>
      <c r="I58" s="36" t="s">
        <v>16</v>
      </c>
      <c r="J58" s="37"/>
      <c r="N58" s="17" t="str">
        <f t="shared" si="12"/>
        <v>Belgium</v>
      </c>
      <c r="O58" s="18">
        <f t="shared" si="12"/>
        <v>0</v>
      </c>
      <c r="P58" s="18">
        <f t="shared" si="12"/>
        <v>0</v>
      </c>
      <c r="Q58" s="18">
        <f t="shared" si="12"/>
        <v>0</v>
      </c>
      <c r="R58" s="18">
        <f t="shared" si="12"/>
        <v>0</v>
      </c>
      <c r="S58" s="18">
        <f t="shared" si="12"/>
        <v>0</v>
      </c>
      <c r="T58" s="18">
        <f t="shared" si="12"/>
        <v>0</v>
      </c>
      <c r="U58" s="18">
        <f t="shared" si="12"/>
        <v>0</v>
      </c>
      <c r="V58" s="19">
        <f t="shared" si="12"/>
        <v>0</v>
      </c>
      <c r="Y58" s="1" t="s">
        <v>27</v>
      </c>
      <c r="Z58" s="1" t="s">
        <v>19</v>
      </c>
      <c r="AA58" s="1" t="s">
        <v>20</v>
      </c>
      <c r="AB58" s="1" t="s">
        <v>21</v>
      </c>
      <c r="AC58" s="1" t="s">
        <v>22</v>
      </c>
      <c r="AD58" s="1" t="s">
        <v>23</v>
      </c>
      <c r="AE58" s="1" t="s">
        <v>24</v>
      </c>
      <c r="AF58" s="1" t="s">
        <v>28</v>
      </c>
    </row>
    <row r="59" spans="14:73" ht="12.75" thickBot="1">
      <c r="N59" s="17" t="str">
        <f t="shared" si="12"/>
        <v>Russia</v>
      </c>
      <c r="O59" s="18">
        <f t="shared" si="12"/>
        <v>0</v>
      </c>
      <c r="P59" s="18">
        <f t="shared" si="12"/>
        <v>0</v>
      </c>
      <c r="Q59" s="18">
        <f t="shared" si="12"/>
        <v>0</v>
      </c>
      <c r="R59" s="18">
        <f t="shared" si="12"/>
        <v>0</v>
      </c>
      <c r="S59" s="18">
        <f t="shared" si="12"/>
        <v>0</v>
      </c>
      <c r="T59" s="18">
        <f t="shared" si="12"/>
        <v>0</v>
      </c>
      <c r="U59" s="18">
        <f t="shared" si="12"/>
        <v>0</v>
      </c>
      <c r="V59" s="19">
        <f t="shared" si="12"/>
        <v>0</v>
      </c>
      <c r="X59" s="1" t="s">
        <v>55</v>
      </c>
      <c r="Y59" s="1">
        <f>COUNT(Japan_Played)</f>
        <v>0</v>
      </c>
      <c r="Z59" s="1">
        <f>COUNTIF(Groupstage_Winners,"Japan")</f>
        <v>0</v>
      </c>
      <c r="AA59" s="1">
        <f>COUNTIF(Groupstage_Losers,"Japan")</f>
        <v>0</v>
      </c>
      <c r="AB59" s="1">
        <f>Y59-(Z59+AA59)</f>
        <v>0</v>
      </c>
      <c r="AC59" s="1">
        <f>SUM(Japan_Played)</f>
        <v>0</v>
      </c>
      <c r="AD59" s="1">
        <f>SUM(Japan_Against)</f>
        <v>0</v>
      </c>
      <c r="AE59" s="1">
        <f>AC59-AD59</f>
        <v>0</v>
      </c>
      <c r="AF59" s="1">
        <f>Z59*Winpoints+AB59*Drawpoints</f>
        <v>0</v>
      </c>
      <c r="AG59" s="1" t="str">
        <f>IF($AF59&gt;=$AF60,$X59,$X60)</f>
        <v>Japan</v>
      </c>
      <c r="AH59" s="1">
        <f>VLOOKUP($AG59,$X59:$AF62,9,FALSE)</f>
        <v>0</v>
      </c>
      <c r="AI59" s="1" t="str">
        <f>IF($AH59&gt;=$AH61,$AG59,$AG61)</f>
        <v>Japan</v>
      </c>
      <c r="AJ59" s="1">
        <f>VLOOKUP($AI59,$X59:$AF62,9,FALSE)</f>
        <v>0</v>
      </c>
      <c r="AK59" s="1" t="str">
        <f>IF($AJ59&gt;=$AJ62,$AI59,$AI62)</f>
        <v>Japan</v>
      </c>
      <c r="AL59" s="1">
        <f>VLOOKUP($AK59,$X59:$AF62,9,FALSE)</f>
        <v>0</v>
      </c>
      <c r="AM59" s="1">
        <f>VLOOKUP($AK59,$X59:$AF62,8,FALSE)</f>
        <v>0</v>
      </c>
      <c r="AN59" s="1" t="str">
        <f>IF(AND($AL59=$AL60,$AM60&gt;$AM59),$AK60,$AK59)</f>
        <v>Japan</v>
      </c>
      <c r="AO59" s="1">
        <f>VLOOKUP($AN59,$X59:$AF62,9,FALSE)</f>
        <v>0</v>
      </c>
      <c r="AP59" s="1">
        <f>VLOOKUP($AN59,$X59:$AF62,8,FALSE)</f>
        <v>0</v>
      </c>
      <c r="AQ59" s="1" t="str">
        <f>IF(AND($AO59=$AO61,$AP61&gt;$AP59),$AN61,$AN59)</f>
        <v>Japan</v>
      </c>
      <c r="AR59" s="1">
        <f>VLOOKUP($AQ59,$X59:$AF62,9,FALSE)</f>
        <v>0</v>
      </c>
      <c r="AS59" s="1">
        <f>VLOOKUP($AQ59,$X59:$AF62,8,FALSE)</f>
        <v>0</v>
      </c>
      <c r="AT59" s="1" t="str">
        <f>IF(AND($AR59=$AR62,$AS62&gt;$AS59),$AQ62,$AQ59)</f>
        <v>Japan</v>
      </c>
      <c r="AU59" s="1">
        <f>VLOOKUP($AT59,$X59:$AF62,9,FALSE)</f>
        <v>0</v>
      </c>
      <c r="AV59" s="1">
        <f>VLOOKUP($AT59,$X59:$AF62,8,FALSE)</f>
        <v>0</v>
      </c>
      <c r="AW59" s="1">
        <f>VLOOKUP($AT59,$X59:$AF62,6,FALSE)</f>
        <v>0</v>
      </c>
      <c r="AX59" s="1" t="str">
        <f>IF(AND($AU59=$AU60,$AV59=$AV60,$AW60&gt;$AW59),$AT60,$AT59)</f>
        <v>Japan</v>
      </c>
      <c r="AY59" s="1">
        <f>VLOOKUP($AX59,$X59:$AF62,9,FALSE)</f>
        <v>0</v>
      </c>
      <c r="AZ59" s="1">
        <f>VLOOKUP($AX59,$X59:$AF62,8,FALSE)</f>
        <v>0</v>
      </c>
      <c r="BA59" s="1">
        <f>VLOOKUP($AX59,$X59:$AF62,6,FALSE)</f>
        <v>0</v>
      </c>
      <c r="BB59" s="1" t="str">
        <f>IF(AND($AY59=$AY61,$AZ59=$AZ61,$BA61&gt;$BA59),$AX61,$AX59)</f>
        <v>Japan</v>
      </c>
      <c r="BC59" s="1">
        <f>VLOOKUP($BB59,$X59:$AF62,9,FALSE)</f>
        <v>0</v>
      </c>
      <c r="BD59" s="1">
        <f>VLOOKUP($BB59,$X59:$AF62,8,FALSE)</f>
        <v>0</v>
      </c>
      <c r="BE59" s="1">
        <f>VLOOKUP($BB59,$X59:$AF62,6,FALSE)</f>
        <v>0</v>
      </c>
      <c r="BF59" s="1" t="str">
        <f>IF(AND($BC59=$BC62,$BD59=$BD62,$BE62&gt;$BE59),$BB62,$BB59)</f>
        <v>Japan</v>
      </c>
      <c r="BG59" s="1">
        <f>VLOOKUP($BF59,$X59:$AF62,9,FALSE)</f>
        <v>0</v>
      </c>
      <c r="BH59" s="1">
        <f>VLOOKUP($BF59,$X59:$AF62,8,FALSE)</f>
        <v>0</v>
      </c>
      <c r="BI59" s="1">
        <f>VLOOKUP($BF59,$X59:$AF62,6,FALSE)</f>
        <v>0</v>
      </c>
      <c r="BM59" s="1" t="str">
        <f>BF59</f>
        <v>Japan</v>
      </c>
      <c r="BN59" s="1">
        <f>VLOOKUP($BM59,$X59:$AF62,2,FALSE)</f>
        <v>0</v>
      </c>
      <c r="BO59" s="1">
        <f>VLOOKUP($BM59,$X59:$AF62,3,FALSE)</f>
        <v>0</v>
      </c>
      <c r="BP59" s="1">
        <f>VLOOKUP($BM59,$X59:$AF62,4,FALSE)</f>
        <v>0</v>
      </c>
      <c r="BQ59" s="1">
        <f>VLOOKUP($BM59,$X59:$AF62,5,FALSE)</f>
        <v>0</v>
      </c>
      <c r="BR59" s="1">
        <f>VLOOKUP($BM59,$X59:$AF62,6,FALSE)</f>
        <v>0</v>
      </c>
      <c r="BS59" s="1">
        <f>VLOOKUP($BM59,$X59:$AF62,7,FALSE)</f>
        <v>0</v>
      </c>
      <c r="BT59" s="1">
        <f>VLOOKUP($BM59,$X59:$AF62,8,FALSE)</f>
        <v>0</v>
      </c>
      <c r="BU59" s="1">
        <f>VLOOKUP($BM59,$X59:$AF62,9,FALSE)</f>
        <v>0</v>
      </c>
    </row>
    <row r="60" spans="2:73" ht="12.75" thickBot="1">
      <c r="B60" s="24">
        <v>42156</v>
      </c>
      <c r="C60" s="25">
        <v>0.6458333333333334</v>
      </c>
      <c r="D60" s="11">
        <f aca="true" t="shared" si="13" ref="D60:D67">C60-$A$8</f>
        <v>0.31250000000000006</v>
      </c>
      <c r="E60" s="29" t="str">
        <f>IF(O36=3,N36,"Winner E")</f>
        <v>Winner E</v>
      </c>
      <c r="F60" s="13"/>
      <c r="G60" s="14"/>
      <c r="H60" s="23" t="str">
        <f>IF(O14=3,N14,"Runner-Up B")</f>
        <v>Runner-Up B</v>
      </c>
      <c r="I60" s="1" t="s">
        <v>60</v>
      </c>
      <c r="K60" s="1" t="str">
        <f>IF(F60&lt;&gt;"",IF(F60&gt;G60,E60,IF(G60&gt;F60,H60,"Draw")),"Second Rd 1")</f>
        <v>Second Rd 1</v>
      </c>
      <c r="N60" s="20" t="str">
        <f t="shared" si="12"/>
        <v>Tunisia</v>
      </c>
      <c r="O60" s="21">
        <f t="shared" si="12"/>
        <v>0</v>
      </c>
      <c r="P60" s="21">
        <f t="shared" si="12"/>
        <v>0</v>
      </c>
      <c r="Q60" s="21">
        <f t="shared" si="12"/>
        <v>0</v>
      </c>
      <c r="R60" s="21">
        <f t="shared" si="12"/>
        <v>0</v>
      </c>
      <c r="S60" s="21">
        <f t="shared" si="12"/>
        <v>0</v>
      </c>
      <c r="T60" s="21">
        <f t="shared" si="12"/>
        <v>0</v>
      </c>
      <c r="U60" s="21">
        <f t="shared" si="12"/>
        <v>0</v>
      </c>
      <c r="V60" s="22">
        <f t="shared" si="12"/>
        <v>0</v>
      </c>
      <c r="X60" s="1" t="s">
        <v>100</v>
      </c>
      <c r="Y60" s="1">
        <f>COUNT(Belgium_Played)</f>
        <v>0</v>
      </c>
      <c r="Z60" s="1">
        <f>COUNTIF(Groupstage_Winners,"Belgium")</f>
        <v>0</v>
      </c>
      <c r="AA60" s="1">
        <f>COUNTIF(Groupstage_Losers,"Belgium")</f>
        <v>0</v>
      </c>
      <c r="AB60" s="1">
        <f>Y60-(Z60+AA60)</f>
        <v>0</v>
      </c>
      <c r="AC60" s="1">
        <f>SUM(Belgium_Played)</f>
        <v>0</v>
      </c>
      <c r="AD60" s="1">
        <f>SUM(Belgium_Against)</f>
        <v>0</v>
      </c>
      <c r="AE60" s="1">
        <f>AC60-AD60</f>
        <v>0</v>
      </c>
      <c r="AF60" s="1">
        <f>Z60*Winpoints+AB60*Drawpoints</f>
        <v>0</v>
      </c>
      <c r="AG60" s="1" t="str">
        <f>IF($AF60&lt;=$AF59,$X60,$X59)</f>
        <v>Belgium</v>
      </c>
      <c r="AH60" s="1">
        <f>VLOOKUP($AG60,$X59:$AF62,9,FALSE)</f>
        <v>0</v>
      </c>
      <c r="AI60" s="1" t="str">
        <f>IF(AH60&gt;=AH62,AG60,AG62)</f>
        <v>Belgium</v>
      </c>
      <c r="AJ60" s="1">
        <f>VLOOKUP($AI60,$X59:$AF62,9,FALSE)</f>
        <v>0</v>
      </c>
      <c r="AK60" s="1" t="str">
        <f>IF($AJ60&gt;=$AJ61,$AI60,$AI61)</f>
        <v>Belgium</v>
      </c>
      <c r="AL60" s="1">
        <f>VLOOKUP($AK60,$X59:$AF62,9,FALSE)</f>
        <v>0</v>
      </c>
      <c r="AM60" s="1">
        <f>VLOOKUP($AK60,$X59:$AF62,8,FALSE)</f>
        <v>0</v>
      </c>
      <c r="AN60" s="1" t="str">
        <f>IF(AND($AL59=$AL60,$AM60&gt;$AM59),$AK59,$AK60)</f>
        <v>Belgium</v>
      </c>
      <c r="AO60" s="1">
        <f>VLOOKUP($AN60,$X59:$AF62,9,FALSE)</f>
        <v>0</v>
      </c>
      <c r="AP60" s="1">
        <f>VLOOKUP($AN60,$X59:$AF62,8,FALSE)</f>
        <v>0</v>
      </c>
      <c r="AQ60" s="1" t="str">
        <f>IF(AND($AO60=$AO62,$AP62&gt;$AP60),$AN62,$AN60)</f>
        <v>Belgium</v>
      </c>
      <c r="AR60" s="1">
        <f>VLOOKUP($AQ60,$X59:$AF62,9,FALSE)</f>
        <v>0</v>
      </c>
      <c r="AS60" s="1">
        <f>VLOOKUP($AQ60,$X59:$AF62,8,FALSE)</f>
        <v>0</v>
      </c>
      <c r="AT60" s="1" t="str">
        <f>IF(AND($AR60=$AR61,$AS61&gt;$AS60),$AQ61,$AQ60)</f>
        <v>Belgium</v>
      </c>
      <c r="AU60" s="1">
        <f>VLOOKUP($AT60,$X59:$AF62,9,FALSE)</f>
        <v>0</v>
      </c>
      <c r="AV60" s="1">
        <f>VLOOKUP($AT60,$X59:$AF62,8,FALSE)</f>
        <v>0</v>
      </c>
      <c r="AW60" s="1">
        <f>VLOOKUP($AT60,$X59:$AF62,6,FALSE)</f>
        <v>0</v>
      </c>
      <c r="AX60" s="1" t="str">
        <f>IF(AND($AU59=$AU60,$AV59=$AV60,$AW60&gt;$AW59),$AT59,$AT60)</f>
        <v>Belgium</v>
      </c>
      <c r="AY60" s="1">
        <f>VLOOKUP($AX60,$X59:$AF62,9,FALSE)</f>
        <v>0</v>
      </c>
      <c r="AZ60" s="1">
        <f>VLOOKUP($AX60,$X59:$AF62,8,FALSE)</f>
        <v>0</v>
      </c>
      <c r="BA60" s="1">
        <f>VLOOKUP($AX60,$X59:$AF62,6,FALSE)</f>
        <v>0</v>
      </c>
      <c r="BB60" s="1" t="str">
        <f>IF(AND($AY60=$AY62,$AZ60=$AZ62,$BA62&gt;$BA60),$AX62,$AX60)</f>
        <v>Belgium</v>
      </c>
      <c r="BC60" s="1">
        <f>VLOOKUP($BB60,$X59:$AF62,9,FALSE)</f>
        <v>0</v>
      </c>
      <c r="BD60" s="1">
        <f>VLOOKUP($BB60,$X59:$AF62,8,FALSE)</f>
        <v>0</v>
      </c>
      <c r="BE60" s="1">
        <f>VLOOKUP($BB60,$X59:$AF62,6,FALSE)</f>
        <v>0</v>
      </c>
      <c r="BF60" s="1" t="str">
        <f>IF(AND($BC60=$BC61,$BD60=$BD61,$BE61&gt;$BE60),$BB61,$BB60)</f>
        <v>Belgium</v>
      </c>
      <c r="BG60" s="1">
        <f>VLOOKUP($BF60,$X59:$AF62,9,FALSE)</f>
        <v>0</v>
      </c>
      <c r="BH60" s="1">
        <f>VLOOKUP($BF60,$X59:$AF62,8,FALSE)</f>
        <v>0</v>
      </c>
      <c r="BI60" s="1">
        <f>VLOOKUP($BF60,$X59:$AF62,6,FALSE)</f>
        <v>0</v>
      </c>
      <c r="BM60" s="1" t="str">
        <f>BF60</f>
        <v>Belgium</v>
      </c>
      <c r="BN60" s="1">
        <f>VLOOKUP($BM60,$X59:$AF62,2,FALSE)</f>
        <v>0</v>
      </c>
      <c r="BO60" s="1">
        <f>VLOOKUP($BM60,$X59:$AF62,3,FALSE)</f>
        <v>0</v>
      </c>
      <c r="BP60" s="1">
        <f>VLOOKUP($BM60,$X59:$AF62,4,FALSE)</f>
        <v>0</v>
      </c>
      <c r="BQ60" s="1">
        <f>VLOOKUP($BM60,$X59:$AF62,5,FALSE)</f>
        <v>0</v>
      </c>
      <c r="BR60" s="1">
        <f>VLOOKUP($BM60,$X59:$AF62,6,FALSE)</f>
        <v>0</v>
      </c>
      <c r="BS60" s="1">
        <f>VLOOKUP($BM60,$X59:$AF62,7,FALSE)</f>
        <v>0</v>
      </c>
      <c r="BT60" s="1">
        <f>VLOOKUP($BM60,$X59:$AF62,8,FALSE)</f>
        <v>0</v>
      </c>
      <c r="BU60" s="1">
        <f>VLOOKUP($BM60,$X59:$AF62,9,FALSE)</f>
        <v>0</v>
      </c>
    </row>
    <row r="61" spans="2:73" ht="12.75" thickBot="1">
      <c r="B61" s="24">
        <v>42156</v>
      </c>
      <c r="C61" s="25">
        <v>0.8541666666666666</v>
      </c>
      <c r="D61" s="11">
        <f t="shared" si="13"/>
        <v>0.5208333333333333</v>
      </c>
      <c r="E61" s="29" t="str">
        <f>IF(O6=3,N6,"Winner A")</f>
        <v>Winner A</v>
      </c>
      <c r="F61" s="13"/>
      <c r="G61" s="14"/>
      <c r="H61" s="23" t="str">
        <f>IF(O44=3,N44,"Runner-Up F")</f>
        <v>Runner-Up F</v>
      </c>
      <c r="I61" s="1" t="s">
        <v>44</v>
      </c>
      <c r="K61" s="1" t="str">
        <f>IF(F61&lt;&gt;"",IF(F61&gt;G61,E61,IF(G61&gt;F61,H61,"Draw")),"Second Rd 2")</f>
        <v>Second Rd 2</v>
      </c>
      <c r="X61" s="1" t="s">
        <v>101</v>
      </c>
      <c r="Y61" s="1">
        <f>COUNT(Russia_Played)</f>
        <v>0</v>
      </c>
      <c r="Z61" s="1">
        <f>COUNTIF(Groupstage_Winners,"Russia")</f>
        <v>0</v>
      </c>
      <c r="AA61" s="1">
        <f>COUNTIF(Groupstage_Losers,"Russia")</f>
        <v>0</v>
      </c>
      <c r="AB61" s="1">
        <f>Y61-(Z61+AA61)</f>
        <v>0</v>
      </c>
      <c r="AC61" s="1">
        <f>SUM(Russia_Played)</f>
        <v>0</v>
      </c>
      <c r="AD61" s="1">
        <f>SUM(Russia_Against)</f>
        <v>0</v>
      </c>
      <c r="AE61" s="1">
        <f>AC61-AD61</f>
        <v>0</v>
      </c>
      <c r="AF61" s="1">
        <f>Z61*Winpoints+AB61*Drawpoints</f>
        <v>0</v>
      </c>
      <c r="AG61" s="1" t="str">
        <f>IF($AF61&gt;=$AF62,$X61,$X62)</f>
        <v>Russia</v>
      </c>
      <c r="AH61" s="1">
        <f>VLOOKUP($AG61,$X59:$AF62,9,FALSE)</f>
        <v>0</v>
      </c>
      <c r="AI61" s="1" t="str">
        <f>IF($AH61&lt;=$AH59,$AG61,$AG59)</f>
        <v>Russia</v>
      </c>
      <c r="AJ61" s="1">
        <f>VLOOKUP($AI61,$X59:$AF62,9,FALSE)</f>
        <v>0</v>
      </c>
      <c r="AK61" s="1" t="str">
        <f>IF($AJ61&lt;=$AJ60,$AI61,$AI60)</f>
        <v>Russia</v>
      </c>
      <c r="AL61" s="1">
        <f>VLOOKUP($AK61,$X59:$AF62,9,FALSE)</f>
        <v>0</v>
      </c>
      <c r="AM61" s="1">
        <f>VLOOKUP($AK61,$X59:$AF62,8,FALSE)</f>
        <v>0</v>
      </c>
      <c r="AN61" s="1" t="str">
        <f>IF(AND($AL61=$AL62,$AM62&gt;$AM61),$AK62,$AK61)</f>
        <v>Russia</v>
      </c>
      <c r="AO61" s="1">
        <f>VLOOKUP($AN61,$X59:$AF62,9,FALSE)</f>
        <v>0</v>
      </c>
      <c r="AP61" s="1">
        <f>VLOOKUP($AN61,$X59:$AF62,8,FALSE)</f>
        <v>0</v>
      </c>
      <c r="AQ61" s="1" t="str">
        <f>IF(AND($AO59=$AO61,$AP61&gt;$AP59),$AN59,$AN61)</f>
        <v>Russia</v>
      </c>
      <c r="AR61" s="1">
        <f>VLOOKUP($AQ61,$X59:$AF62,9,FALSE)</f>
        <v>0</v>
      </c>
      <c r="AS61" s="1">
        <f>VLOOKUP($AQ61,$X59:$AF62,8,FALSE)</f>
        <v>0</v>
      </c>
      <c r="AT61" s="1" t="str">
        <f>IF(AND($AR60=$AR61,$AS61&gt;$AS60),$AQ60,$AQ61)</f>
        <v>Russia</v>
      </c>
      <c r="AU61" s="1">
        <f>VLOOKUP($AT61,$X59:$AF62,9,FALSE)</f>
        <v>0</v>
      </c>
      <c r="AV61" s="1">
        <f>VLOOKUP($AT61,$X59:$AF62,8,FALSE)</f>
        <v>0</v>
      </c>
      <c r="AW61" s="1">
        <f>VLOOKUP($AT61,$X59:$AF62,6,FALSE)</f>
        <v>0</v>
      </c>
      <c r="AX61" s="1" t="str">
        <f>IF(AND($AU61=$AU62,$AV61=$AV62,$AW62&gt;$AW61),$AT62,$AT61)</f>
        <v>Russia</v>
      </c>
      <c r="AY61" s="1">
        <f>VLOOKUP($AX61,$X59:$AF62,9,FALSE)</f>
        <v>0</v>
      </c>
      <c r="AZ61" s="1">
        <f>VLOOKUP($AX61,$X59:$AF62,8,FALSE)</f>
        <v>0</v>
      </c>
      <c r="BA61" s="1">
        <f>VLOOKUP($AX61,$X59:$AF62,6,FALSE)</f>
        <v>0</v>
      </c>
      <c r="BB61" s="1" t="str">
        <f>IF(AND($AY59=$AY61,$AZ59=$AZ61,$BA60&gt;$BA59),$AX59,$AX61)</f>
        <v>Russia</v>
      </c>
      <c r="BC61" s="1">
        <f>VLOOKUP($BB61,$X59:$AF62,9,FALSE)</f>
        <v>0</v>
      </c>
      <c r="BD61" s="1">
        <f>VLOOKUP($BB61,$X59:$AF62,8,FALSE)</f>
        <v>0</v>
      </c>
      <c r="BE61" s="1">
        <f>VLOOKUP($BB61,$X59:$AF62,6,FALSE)</f>
        <v>0</v>
      </c>
      <c r="BF61" s="1" t="str">
        <f>IF(AND($BC60=$BC61,$BD60=$BD61,$BE61&gt;$BE60),$BB60,$BB61)</f>
        <v>Russia</v>
      </c>
      <c r="BG61" s="1">
        <f>VLOOKUP($BF61,$X59:$AF62,9,FALSE)</f>
        <v>0</v>
      </c>
      <c r="BH61" s="1">
        <f>VLOOKUP($BF61,$X59:$AF62,8,FALSE)</f>
        <v>0</v>
      </c>
      <c r="BI61" s="1">
        <f>VLOOKUP($BF61,$X59:$AF62,6,FALSE)</f>
        <v>0</v>
      </c>
      <c r="BM61" s="1" t="str">
        <f>BF61</f>
        <v>Russia</v>
      </c>
      <c r="BN61" s="1">
        <f>VLOOKUP($BM61,$X59:$AF62,2,FALSE)</f>
        <v>0</v>
      </c>
      <c r="BO61" s="1">
        <f>VLOOKUP($BM61,$X59:$AF62,3,FALSE)</f>
        <v>0</v>
      </c>
      <c r="BP61" s="1">
        <f>VLOOKUP($BM61,$X59:$AF62,4,FALSE)</f>
        <v>0</v>
      </c>
      <c r="BQ61" s="1">
        <f>VLOOKUP($BM61,$X59:$AF62,5,FALSE)</f>
        <v>0</v>
      </c>
      <c r="BR61" s="1">
        <f>VLOOKUP($BM61,$X59:$AF62,6,FALSE)</f>
        <v>0</v>
      </c>
      <c r="BS61" s="1">
        <f>VLOOKUP($BM61,$X59:$AF62,7,FALSE)</f>
        <v>0</v>
      </c>
      <c r="BT61" s="1">
        <f>VLOOKUP($BM61,$X59:$AF62,8,FALSE)</f>
        <v>0</v>
      </c>
      <c r="BU61" s="1">
        <f>VLOOKUP($BM61,$X59:$AF62,9,FALSE)</f>
        <v>0</v>
      </c>
    </row>
    <row r="62" spans="2:73" ht="12.75" thickBot="1">
      <c r="B62" s="24">
        <v>42522</v>
      </c>
      <c r="C62" s="25">
        <v>0.6458333333333334</v>
      </c>
      <c r="D62" s="11">
        <f t="shared" si="13"/>
        <v>0.31250000000000006</v>
      </c>
      <c r="E62" s="29" t="str">
        <f>IF(O43=3,N43,"Winner F")</f>
        <v>Winner F</v>
      </c>
      <c r="F62" s="13"/>
      <c r="G62" s="14"/>
      <c r="H62" s="23" t="str">
        <f>IF(O7=3,N7,"Runner-Up A")</f>
        <v>Runner-Up A</v>
      </c>
      <c r="I62" s="1" t="s">
        <v>64</v>
      </c>
      <c r="K62" s="1" t="str">
        <f>IF(F62&lt;&gt;"",IF(F62&gt;G62,E62,IF(G62&gt;F62,H62,"Draw")),"Second Rd 3")</f>
        <v>Second Rd 3</v>
      </c>
      <c r="X62" s="1" t="s">
        <v>102</v>
      </c>
      <c r="Y62" s="1">
        <f>COUNT(Tunisia_Played)</f>
        <v>0</v>
      </c>
      <c r="Z62" s="1">
        <f>COUNTIF(Groupstage_Winners,"Tunisia")</f>
        <v>0</v>
      </c>
      <c r="AA62" s="1">
        <f>COUNTIF(Groupstage_Losers,"Tunisia")</f>
        <v>0</v>
      </c>
      <c r="AB62" s="1">
        <f>Y62-(Z62+AA62)</f>
        <v>0</v>
      </c>
      <c r="AC62" s="1">
        <f>SUM(Tunisia_Played)</f>
        <v>0</v>
      </c>
      <c r="AD62" s="1">
        <f>SUM(Tunisia_Against)</f>
        <v>0</v>
      </c>
      <c r="AE62" s="1">
        <f>AC62-AD62</f>
        <v>0</v>
      </c>
      <c r="AF62" s="1">
        <f>Z62*Winpoints+AB62*Drawpoints</f>
        <v>0</v>
      </c>
      <c r="AG62" s="1" t="str">
        <f>IF($AF62&lt;=$AF61,$X62,$X61)</f>
        <v>Tunisia</v>
      </c>
      <c r="AH62" s="1">
        <f>VLOOKUP($AG62,$X59:$AF62,9,FALSE)</f>
        <v>0</v>
      </c>
      <c r="AI62" s="1" t="str">
        <f>IF(AH62&lt;=AH60,AG62,AG60)</f>
        <v>Tunisia</v>
      </c>
      <c r="AJ62" s="1">
        <f>VLOOKUP($AI62,$X59:$AF62,9,FALSE)</f>
        <v>0</v>
      </c>
      <c r="AK62" s="1" t="str">
        <f>IF($AJ62&lt;=$AJ59,$AI62,$AI59)</f>
        <v>Tunisia</v>
      </c>
      <c r="AL62" s="1">
        <f>VLOOKUP($AK62,$X59:$AF62,9,FALSE)</f>
        <v>0</v>
      </c>
      <c r="AM62" s="1">
        <f>VLOOKUP($AK62,$X59:$AF62,8,FALSE)</f>
        <v>0</v>
      </c>
      <c r="AN62" s="1" t="str">
        <f>IF(AND($AL61=$AL62,$AM62&gt;$AM61),$AK61,$AK62)</f>
        <v>Tunisia</v>
      </c>
      <c r="AO62" s="1">
        <f>VLOOKUP($AN62,$X59:$AF62,9,FALSE)</f>
        <v>0</v>
      </c>
      <c r="AP62" s="1">
        <f>VLOOKUP($AN62,$X59:$AF62,8,FALSE)</f>
        <v>0</v>
      </c>
      <c r="AQ62" s="1" t="str">
        <f>IF(AND($AO60=$AO62,$AP62&gt;$AP60),$AN60,$AN62)</f>
        <v>Tunisia</v>
      </c>
      <c r="AR62" s="1">
        <f>VLOOKUP($AQ62,$X59:$AF62,9,FALSE)</f>
        <v>0</v>
      </c>
      <c r="AS62" s="1">
        <f>VLOOKUP($AQ62,$X59:$AF62,8,FALSE)</f>
        <v>0</v>
      </c>
      <c r="AT62" s="1" t="str">
        <f>IF(AND($AR59=$AR62,$AS62&gt;$AS59),$AQ59,$AQ62)</f>
        <v>Tunisia</v>
      </c>
      <c r="AU62" s="1">
        <f>VLOOKUP($AT62,$X59:$AF62,9,FALSE)</f>
        <v>0</v>
      </c>
      <c r="AV62" s="1">
        <f>VLOOKUP($AT62,$X59:$AF62,8,FALSE)</f>
        <v>0</v>
      </c>
      <c r="AW62" s="1">
        <f>VLOOKUP($AT62,$X59:$AF62,6,FALSE)</f>
        <v>0</v>
      </c>
      <c r="AX62" s="1" t="str">
        <f>IF(AND($AU61=$AU62,$AV61=$AV62,$AW62&gt;$AW61),$AT61,$AT62)</f>
        <v>Tunisia</v>
      </c>
      <c r="AY62" s="1">
        <f>VLOOKUP($AX62,$X59:$AF62,9,FALSE)</f>
        <v>0</v>
      </c>
      <c r="AZ62" s="1">
        <f>VLOOKUP($AX62,$X59:$AF62,8,FALSE)</f>
        <v>0</v>
      </c>
      <c r="BA62" s="1">
        <f>VLOOKUP($AX62,$X59:$AF62,6,FALSE)</f>
        <v>0</v>
      </c>
      <c r="BB62" s="1" t="str">
        <f>IF(AND($AY60=$AY62,$AZ60=$AZ62,$BA62&gt;$BA60),$AX60,$AX62)</f>
        <v>Tunisia</v>
      </c>
      <c r="BC62" s="1">
        <f>VLOOKUP($BB62,$X59:$AF62,9,FALSE)</f>
        <v>0</v>
      </c>
      <c r="BD62" s="1">
        <f>VLOOKUP($BB62,$X59:$AF62,8,FALSE)</f>
        <v>0</v>
      </c>
      <c r="BE62" s="1">
        <f>VLOOKUP($BB62,$X59:$AF62,6,FALSE)</f>
        <v>0</v>
      </c>
      <c r="BF62" s="1" t="str">
        <f>IF(AND($BC59=$BC62,$BD59=$BD62,$BE62&gt;$BE59),$BB59,$BB62)</f>
        <v>Tunisia</v>
      </c>
      <c r="BG62" s="1">
        <f>VLOOKUP($BF62,$X59:$AF62,9,FALSE)</f>
        <v>0</v>
      </c>
      <c r="BH62" s="1">
        <f>VLOOKUP($BF62,$X59:$AF62,8,FALSE)</f>
        <v>0</v>
      </c>
      <c r="BI62" s="1">
        <f>VLOOKUP($BF62,$X59:$AF62,6,FALSE)</f>
        <v>0</v>
      </c>
      <c r="BM62" s="1" t="str">
        <f>BF62</f>
        <v>Tunisia</v>
      </c>
      <c r="BN62" s="1">
        <f>VLOOKUP($BM62,$X59:$AF62,2,FALSE)</f>
        <v>0</v>
      </c>
      <c r="BO62" s="1">
        <f>VLOOKUP($BM62,$X59:$AF62,3,FALSE)</f>
        <v>0</v>
      </c>
      <c r="BP62" s="1">
        <f>VLOOKUP($BM62,$X59:$AF62,4,FALSE)</f>
        <v>0</v>
      </c>
      <c r="BQ62" s="1">
        <f>VLOOKUP($BM62,$X59:$AF62,5,FALSE)</f>
        <v>0</v>
      </c>
      <c r="BR62" s="1">
        <f>VLOOKUP($BM62,$X59:$AF62,6,FALSE)</f>
        <v>0</v>
      </c>
      <c r="BS62" s="1">
        <f>VLOOKUP($BM62,$X59:$AF62,7,FALSE)</f>
        <v>0</v>
      </c>
      <c r="BT62" s="1">
        <f>VLOOKUP($BM62,$X59:$AF62,8,FALSE)</f>
        <v>0</v>
      </c>
      <c r="BU62" s="1">
        <f>VLOOKUP($BM62,$X59:$AF62,9,FALSE)</f>
        <v>0</v>
      </c>
    </row>
    <row r="63" spans="2:11" ht="12.75" thickBot="1">
      <c r="B63" s="24">
        <v>42522</v>
      </c>
      <c r="C63" s="25">
        <v>0.8541666666666666</v>
      </c>
      <c r="D63" s="11">
        <f t="shared" si="13"/>
        <v>0.5208333333333333</v>
      </c>
      <c r="E63" s="29" t="str">
        <f>IF(O13=3,N13,"Winner B")</f>
        <v>Winner B</v>
      </c>
      <c r="F63" s="13"/>
      <c r="G63" s="14"/>
      <c r="H63" s="23" t="str">
        <f>IF(O37=3,N37,"Runner-Up E")</f>
        <v>Runner-Up E</v>
      </c>
      <c r="I63" s="1" t="s">
        <v>57</v>
      </c>
      <c r="K63" s="1" t="str">
        <f>IF(F63&lt;&gt;"",IF(F63&gt;G63,E63,IF(G63&gt;F63,H63,"Draw")),"Second Rd 4")</f>
        <v>Second Rd 4</v>
      </c>
    </row>
    <row r="64" spans="2:11" ht="12.75" thickBot="1">
      <c r="B64" s="24">
        <v>42887</v>
      </c>
      <c r="C64" s="25">
        <v>0.6458333333333334</v>
      </c>
      <c r="D64" s="11">
        <f t="shared" si="13"/>
        <v>0.31250000000000006</v>
      </c>
      <c r="E64" s="29" t="str">
        <f>IF(O50=3,N50,"Winner G")</f>
        <v>Winner G</v>
      </c>
      <c r="F64" s="13"/>
      <c r="G64" s="14"/>
      <c r="H64" s="23" t="str">
        <f>IF(O28=3,N28,"Runner-Up D")</f>
        <v>Runner-Up D</v>
      </c>
      <c r="I64" s="1" t="s">
        <v>59</v>
      </c>
      <c r="K64" s="1" t="str">
        <f>IF(F64&lt;&gt;"",IF(F64&gt;G64,E64,IF(G64&gt;F64,H64,"Draw")),"Second Rd 5")</f>
        <v>Second Rd 5</v>
      </c>
    </row>
    <row r="65" spans="2:11" ht="12.75" thickBot="1">
      <c r="B65" s="24">
        <v>42887</v>
      </c>
      <c r="C65" s="25">
        <v>0.8541666666666666</v>
      </c>
      <c r="D65" s="11">
        <f t="shared" si="13"/>
        <v>0.5208333333333333</v>
      </c>
      <c r="E65" s="29" t="str">
        <f>IF(O20=3,N20,"Winner C")</f>
        <v>Winner C</v>
      </c>
      <c r="F65" s="13"/>
      <c r="G65" s="14"/>
      <c r="H65" s="23" t="str">
        <f>IF(O58=3,N58,"Runner-Up H")</f>
        <v>Runner-Up H</v>
      </c>
      <c r="I65" s="1" t="s">
        <v>56</v>
      </c>
      <c r="K65" s="1" t="str">
        <f>IF(F65&lt;&gt;"",IF(F65&gt;G65,E65,IF(G65&gt;F65,H65,"Draw")),"Second Rd 6")</f>
        <v>Second Rd 6</v>
      </c>
    </row>
    <row r="66" spans="2:11" ht="12.75" thickBot="1">
      <c r="B66" s="24">
        <v>43252</v>
      </c>
      <c r="C66" s="25">
        <v>0.6458333333333334</v>
      </c>
      <c r="D66" s="11">
        <f t="shared" si="13"/>
        <v>0.31250000000000006</v>
      </c>
      <c r="E66" s="29" t="str">
        <f>IF(O57=3,N57,"Winner H")</f>
        <v>Winner H</v>
      </c>
      <c r="F66" s="13"/>
      <c r="G66" s="14"/>
      <c r="H66" s="23" t="str">
        <f>IF(O21=3,N21,"Runner-Up C")</f>
        <v>Runner-Up C</v>
      </c>
      <c r="I66" s="1" t="s">
        <v>62</v>
      </c>
      <c r="K66" s="1" t="str">
        <f>IF(F66&lt;&gt;"",IF(F66&gt;G66,E66,IF(G66&gt;F66,H66,"Draw")),"Second Rd 7")</f>
        <v>Second Rd 7</v>
      </c>
    </row>
    <row r="67" spans="2:11" ht="12.75" thickBot="1">
      <c r="B67" s="24">
        <v>43252</v>
      </c>
      <c r="C67" s="25">
        <v>0.8541666666666666</v>
      </c>
      <c r="D67" s="11">
        <f t="shared" si="13"/>
        <v>0.5208333333333333</v>
      </c>
      <c r="E67" s="29" t="str">
        <f>IF(O27=3,N27,"Winner D")</f>
        <v>Winner D</v>
      </c>
      <c r="F67" s="13"/>
      <c r="G67" s="14"/>
      <c r="H67" s="23" t="str">
        <f>IF(O51=3,N51,"Runner-Up G")</f>
        <v>Runner-Up G</v>
      </c>
      <c r="I67" s="1" t="s">
        <v>69</v>
      </c>
      <c r="K67" s="1" t="str">
        <f>IF(F67&lt;&gt;"",IF(F67&gt;G67,E67,IF(G67&gt;F67,H67,"Draw")),"Second Rd 8")</f>
        <v>Second Rd 8</v>
      </c>
    </row>
    <row r="69" ht="12.75"/>
    <row r="70" spans="2:10" ht="15">
      <c r="B70" s="30" t="s">
        <v>35</v>
      </c>
      <c r="C70" s="31"/>
      <c r="D70" s="31"/>
      <c r="E70" s="31"/>
      <c r="F70" s="31"/>
      <c r="G70" s="31"/>
      <c r="H70" s="31"/>
      <c r="I70" s="31"/>
      <c r="J70" s="32"/>
    </row>
    <row r="71" spans="2:10" ht="15">
      <c r="B71" s="34" t="s">
        <v>14</v>
      </c>
      <c r="C71" s="35" t="s">
        <v>15</v>
      </c>
      <c r="D71" s="35" t="s">
        <v>103</v>
      </c>
      <c r="E71" s="36"/>
      <c r="F71" s="36"/>
      <c r="G71" s="36"/>
      <c r="H71" s="36"/>
      <c r="I71" s="36" t="s">
        <v>16</v>
      </c>
      <c r="J71" s="37"/>
    </row>
    <row r="72" ht="13.5" thickBot="1"/>
    <row r="73" spans="2:11" ht="13.5" thickBot="1">
      <c r="B73" s="24">
        <v>44348</v>
      </c>
      <c r="C73" s="25">
        <v>0.6458333333333334</v>
      </c>
      <c r="D73" s="11">
        <f>C73-$A$8</f>
        <v>0.31250000000000006</v>
      </c>
      <c r="E73" s="29" t="str">
        <f>K61</f>
        <v>Second Rd 2</v>
      </c>
      <c r="F73" s="13"/>
      <c r="G73" s="14"/>
      <c r="H73" s="23" t="str">
        <f>K65</f>
        <v>Second Rd 6</v>
      </c>
      <c r="I73" s="1" t="s">
        <v>65</v>
      </c>
      <c r="K73" s="1" t="str">
        <f>IF(F73&lt;&gt;"",IF(F73&gt;G73,E73,IF(G73&gt;F73,H73,"Draw")),"Quarter-Final 1")</f>
        <v>Quarter-Final 1</v>
      </c>
    </row>
    <row r="74" spans="2:11" ht="13.5" thickBot="1">
      <c r="B74" s="24">
        <v>44348</v>
      </c>
      <c r="C74" s="25">
        <v>0.8541666666666666</v>
      </c>
      <c r="D74" s="11">
        <f>C74-$A$8</f>
        <v>0.5208333333333333</v>
      </c>
      <c r="E74" s="29" t="str">
        <f>K60</f>
        <v>Second Rd 1</v>
      </c>
      <c r="F74" s="13"/>
      <c r="G74" s="14"/>
      <c r="H74" s="23" t="str">
        <f>K64</f>
        <v>Second Rd 5</v>
      </c>
      <c r="I74" s="1" t="s">
        <v>45</v>
      </c>
      <c r="K74" s="1" t="str">
        <f>IF(F74&lt;&gt;"",IF(F74&gt;G74,E74,IF(G74&gt;F74,H74,"Draw")),"Quarter-Final 2")</f>
        <v>Quarter-Final 2</v>
      </c>
    </row>
    <row r="75" spans="2:11" ht="13.5" thickBot="1">
      <c r="B75" s="24">
        <v>44713</v>
      </c>
      <c r="C75" s="25">
        <v>0.6458333333333334</v>
      </c>
      <c r="D75" s="11">
        <f>C75-$A$8</f>
        <v>0.31250000000000006</v>
      </c>
      <c r="E75" s="29" t="str">
        <f>K63</f>
        <v>Second Rd 4</v>
      </c>
      <c r="F75" s="13"/>
      <c r="G75" s="14"/>
      <c r="H75" s="23" t="str">
        <f>K67</f>
        <v>Second Rd 8</v>
      </c>
      <c r="I75" s="1" t="s">
        <v>51</v>
      </c>
      <c r="K75" s="1" t="str">
        <f>IF(F75&lt;&gt;"",IF(F75&gt;G75,E75,IF(G75&gt;F75,H75,"Draw")),"Quarter-Final 3")</f>
        <v>Quarter-Final 3</v>
      </c>
    </row>
    <row r="76" spans="2:11" ht="13.5" thickBot="1">
      <c r="B76" s="24">
        <v>44713</v>
      </c>
      <c r="C76" s="25">
        <v>0.8541666666666666</v>
      </c>
      <c r="D76" s="11">
        <f>C76-$A$8</f>
        <v>0.5208333333333333</v>
      </c>
      <c r="E76" s="29" t="str">
        <f>K62</f>
        <v>Second Rd 3</v>
      </c>
      <c r="F76" s="13"/>
      <c r="G76" s="14"/>
      <c r="H76" s="23" t="str">
        <f>K66</f>
        <v>Second Rd 7</v>
      </c>
      <c r="I76" s="1" t="s">
        <v>66</v>
      </c>
      <c r="K76" s="1" t="str">
        <f>IF(F76&lt;&gt;"",IF(F76&gt;G76,E76,IF(G76&gt;F76,H76,"Draw")),"Quarter-Final 4")</f>
        <v>Quarter-Final 4</v>
      </c>
    </row>
    <row r="77" spans="2:7" ht="12.75">
      <c r="B77" s="24"/>
      <c r="C77" s="25"/>
      <c r="D77" s="25"/>
      <c r="F77" s="12"/>
      <c r="G77" s="15"/>
    </row>
    <row r="78" ht="12.75"/>
    <row r="79" spans="2:10" ht="15">
      <c r="B79" s="30" t="s">
        <v>36</v>
      </c>
      <c r="C79" s="31"/>
      <c r="D79" s="31"/>
      <c r="E79" s="31"/>
      <c r="F79" s="31"/>
      <c r="G79" s="31"/>
      <c r="H79" s="31"/>
      <c r="I79" s="31"/>
      <c r="J79" s="32"/>
    </row>
    <row r="80" spans="2:10" ht="15">
      <c r="B80" s="34" t="s">
        <v>14</v>
      </c>
      <c r="C80" s="35" t="s">
        <v>15</v>
      </c>
      <c r="D80" s="35" t="s">
        <v>103</v>
      </c>
      <c r="E80" s="36"/>
      <c r="F80" s="36"/>
      <c r="G80" s="36"/>
      <c r="H80" s="36"/>
      <c r="I80" s="36" t="s">
        <v>16</v>
      </c>
      <c r="J80" s="37"/>
    </row>
    <row r="81" ht="13.5" thickBot="1"/>
    <row r="82" spans="2:11" ht="13.5" thickBot="1">
      <c r="B82" s="24">
        <v>45809</v>
      </c>
      <c r="C82" s="25">
        <v>0.8541666666666666</v>
      </c>
      <c r="D82" s="11">
        <f>C82-$A$8</f>
        <v>0.5208333333333333</v>
      </c>
      <c r="E82" s="29" t="str">
        <f>K74</f>
        <v>Quarter-Final 2</v>
      </c>
      <c r="F82" s="13"/>
      <c r="G82" s="14"/>
      <c r="H82" s="23" t="str">
        <f>K75</f>
        <v>Quarter-Final 3</v>
      </c>
      <c r="I82" s="1" t="s">
        <v>43</v>
      </c>
      <c r="K82" s="1" t="str">
        <f>IF(F82&lt;&gt;"",IF(F82&gt;G82,E82,IF(G82&gt;F82,H82,"Draw")),"Semi-Final 1")</f>
        <v>Semi-Final 1</v>
      </c>
    </row>
    <row r="83" spans="2:11" ht="12.75" thickBot="1">
      <c r="B83" s="24">
        <v>46174</v>
      </c>
      <c r="C83" s="25">
        <v>0.8541666666666666</v>
      </c>
      <c r="D83" s="11">
        <f>C83-$A$8</f>
        <v>0.5208333333333333</v>
      </c>
      <c r="E83" s="29" t="str">
        <f>K73</f>
        <v>Quarter-Final 1</v>
      </c>
      <c r="F83" s="13"/>
      <c r="G83" s="14"/>
      <c r="H83" s="23" t="str">
        <f>K76</f>
        <v>Quarter-Final 4</v>
      </c>
      <c r="I83" s="1" t="s">
        <v>48</v>
      </c>
      <c r="K83" s="1" t="str">
        <f>IF(F83&lt;&gt;"",IF(F83&gt;G83,E83,IF(G83&gt;F83,H83,"Draw")),"Semi-Final 2")</f>
        <v>Semi-Final 2</v>
      </c>
    </row>
    <row r="84" ht="12.75"/>
    <row r="85" ht="12.75"/>
    <row r="86" spans="2:11" ht="15">
      <c r="B86" s="30" t="s">
        <v>37</v>
      </c>
      <c r="C86" s="31"/>
      <c r="D86" s="31"/>
      <c r="E86" s="31"/>
      <c r="F86" s="31"/>
      <c r="G86" s="31"/>
      <c r="H86" s="31"/>
      <c r="I86" s="31"/>
      <c r="J86" s="32"/>
      <c r="K86" s="1">
        <f>IF(F89&lt;&gt;"",IF(F89&gt;G89,E89,IF(G89&gt;F89,H89,"Draw")),"")</f>
      </c>
    </row>
    <row r="87" spans="2:10" ht="15">
      <c r="B87" s="34" t="s">
        <v>14</v>
      </c>
      <c r="C87" s="35" t="s">
        <v>15</v>
      </c>
      <c r="D87" s="35" t="s">
        <v>103</v>
      </c>
      <c r="E87" s="36"/>
      <c r="F87" s="36"/>
      <c r="G87" s="36"/>
      <c r="H87" s="36"/>
      <c r="I87" s="36" t="s">
        <v>16</v>
      </c>
      <c r="J87" s="37"/>
    </row>
    <row r="88" ht="13.5" thickBot="1"/>
    <row r="89" spans="2:9" ht="12.75" thickBot="1">
      <c r="B89" s="24">
        <v>47665</v>
      </c>
      <c r="C89" s="25">
        <v>0.8333333333333334</v>
      </c>
      <c r="D89" s="11">
        <f>C89-$A$8</f>
        <v>0.5</v>
      </c>
      <c r="E89" s="29" t="str">
        <f>K82</f>
        <v>Semi-Final 1</v>
      </c>
      <c r="F89" s="13"/>
      <c r="G89" s="14"/>
      <c r="H89" s="23" t="str">
        <f>K83</f>
        <v>Semi-Final 2</v>
      </c>
      <c r="I89" s="1" t="s">
        <v>63</v>
      </c>
    </row>
    <row r="91" spans="3:5" ht="17.25">
      <c r="C91" s="26" t="s">
        <v>38</v>
      </c>
      <c r="D91" s="26"/>
      <c r="E91" s="27">
        <f>K86</f>
      </c>
    </row>
  </sheetData>
  <sheetProtection password="CBEB" objects="1"/>
  <printOptions/>
  <pageMargins left="0.75" right="0.75" top="0.57" bottom="0.55" header="0.5" footer="0.5"/>
  <pageSetup fitToHeight="1" fitToWidth="1" horizontalDpi="360" verticalDpi="360" orientation="portrait" paperSize="9" scale="56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</cols>
  <sheetData>
    <row r="2" ht="12.75">
      <c r="A2" t="s">
        <v>39</v>
      </c>
    </row>
    <row r="4" spans="1:2" ht="12.75">
      <c r="A4" t="s">
        <v>40</v>
      </c>
      <c r="B4">
        <v>3</v>
      </c>
    </row>
    <row r="5" spans="1:2" ht="12.75">
      <c r="A5" t="s">
        <v>41</v>
      </c>
      <c r="B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 2002</dc:title>
  <dc:subject/>
  <dc:creator/>
  <cp:keywords/>
  <dc:description>I hope this works out the points correctly.  I reckon the only reason it wouldn't work is if a pair of teams cannot be separated by point, goal difference or goals scored.    Cheers.</dc:description>
  <cp:lastModifiedBy>kevin fernandez</cp:lastModifiedBy>
  <cp:lastPrinted>2002-01-29T10:28:13Z</cp:lastPrinted>
  <dcterms:created xsi:type="dcterms:W3CDTF">2000-05-07T15:11:05Z</dcterms:created>
  <dcterms:modified xsi:type="dcterms:W3CDTF">2002-02-07T08:53:18Z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